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tables/table2.xml" ContentType="application/vnd.openxmlformats-officedocument.spreadsheetml.table+xml"/>
  <Override PartName="/xl/charts/chart7.xml" ContentType="application/vnd.openxmlformats-officedocument.drawingml.chart+xml"/>
  <Override PartName="/xl/drawings/drawing4.xml" ContentType="application/vnd.openxmlformats-officedocument.drawing+xml"/>
  <Override PartName="/xl/tables/table3.xml" ContentType="application/vnd.openxmlformats-officedocument.spreadsheetml.table+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cer\Downloads\"/>
    </mc:Choice>
  </mc:AlternateContent>
  <xr:revisionPtr revIDLastSave="0" documentId="13_ncr:1_{22B61D55-A42E-4869-998A-3CE7796E47D8}" xr6:coauthVersionLast="47" xr6:coauthVersionMax="47" xr10:uidLastSave="{00000000-0000-0000-0000-000000000000}"/>
  <bookViews>
    <workbookView xWindow="-108" yWindow="-108" windowWidth="23256" windowHeight="12720" xr2:uid="{00000000-000D-0000-FFFF-FFFF00000000}"/>
  </bookViews>
  <sheets>
    <sheet name="START_HERE" sheetId="1" r:id="rId1"/>
    <sheet name="SALES_DASHBOARD" sheetId="2" r:id="rId2"/>
    <sheet name="EXPENSES" sheetId="3" r:id="rId3"/>
    <sheet name="INVOICES" sheetId="4" r:id="rId4"/>
    <sheet name="CRM" sheetId="5" r:id="rId5"/>
    <sheet name="KPI_DASHBOARD" sheetId="6" r:id="rId6"/>
    <sheet name="DATA_CLEANER" sheetId="7" r:id="rId7"/>
    <sheet name="AI_PROMPTS" sheetId="8" r:id="rId8"/>
    <sheet name="EXAMPLE_DATA" sheetId="9" r:id="rId9"/>
  </sheets>
  <definedNames>
    <definedName name="AsOfDate">START_HERE!$D$6</definedName>
    <definedName name="StartMonth">START_HERE!$D$7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75" i="9" l="1"/>
  <c r="F175" i="9"/>
  <c r="I174" i="9"/>
  <c r="F174" i="9"/>
  <c r="I173" i="9"/>
  <c r="F173" i="9"/>
  <c r="I172" i="9"/>
  <c r="F172" i="9"/>
  <c r="I171" i="9"/>
  <c r="F171" i="9"/>
  <c r="I170" i="9"/>
  <c r="F170" i="9"/>
  <c r="I169" i="9"/>
  <c r="F169" i="9"/>
  <c r="I168" i="9"/>
  <c r="F168" i="9"/>
  <c r="I167" i="9"/>
  <c r="F167" i="9"/>
  <c r="I166" i="9"/>
  <c r="F166" i="9"/>
  <c r="I165" i="9"/>
  <c r="F165" i="9"/>
  <c r="I164" i="9"/>
  <c r="F164" i="9"/>
  <c r="I163" i="9"/>
  <c r="F163" i="9"/>
  <c r="I162" i="9"/>
  <c r="F162" i="9"/>
  <c r="I161" i="9"/>
  <c r="F161" i="9"/>
  <c r="I160" i="9"/>
  <c r="F160" i="9"/>
  <c r="I159" i="9"/>
  <c r="F159" i="9"/>
  <c r="I158" i="9"/>
  <c r="F158" i="9"/>
  <c r="I157" i="9"/>
  <c r="F157" i="9"/>
  <c r="I156" i="9"/>
  <c r="F156" i="9"/>
  <c r="I155" i="9"/>
  <c r="F155" i="9"/>
  <c r="I154" i="9"/>
  <c r="F154" i="9"/>
  <c r="I153" i="9"/>
  <c r="F153" i="9"/>
  <c r="I152" i="9"/>
  <c r="F152" i="9"/>
  <c r="I151" i="9"/>
  <c r="F151" i="9"/>
  <c r="I150" i="9"/>
  <c r="F150" i="9"/>
  <c r="I149" i="9"/>
  <c r="F149" i="9"/>
  <c r="I148" i="9"/>
  <c r="F148" i="9"/>
  <c r="I147" i="9"/>
  <c r="F147" i="9"/>
  <c r="I146" i="9"/>
  <c r="F146" i="9"/>
  <c r="I145" i="9"/>
  <c r="F145" i="9"/>
  <c r="I144" i="9"/>
  <c r="F144" i="9"/>
  <c r="I143" i="9"/>
  <c r="F143" i="9"/>
  <c r="I142" i="9"/>
  <c r="F142" i="9"/>
  <c r="I141" i="9"/>
  <c r="F141" i="9"/>
  <c r="I140" i="9"/>
  <c r="F140" i="9"/>
  <c r="I139" i="9"/>
  <c r="F139" i="9"/>
  <c r="I138" i="9"/>
  <c r="F138" i="9"/>
  <c r="I137" i="9"/>
  <c r="F137" i="9"/>
  <c r="I136" i="9"/>
  <c r="F136" i="9"/>
  <c r="I135" i="9"/>
  <c r="F135" i="9"/>
  <c r="I134" i="9"/>
  <c r="F134" i="9"/>
  <c r="I133" i="9"/>
  <c r="F133" i="9"/>
  <c r="I132" i="9"/>
  <c r="F132" i="9"/>
  <c r="I131" i="9"/>
  <c r="F131" i="9"/>
  <c r="I130" i="9"/>
  <c r="F130" i="9"/>
  <c r="I129" i="9"/>
  <c r="F129" i="9"/>
  <c r="I128" i="9"/>
  <c r="F128" i="9"/>
  <c r="I127" i="9"/>
  <c r="F127" i="9"/>
  <c r="I126" i="9"/>
  <c r="F126" i="9"/>
  <c r="I125" i="9"/>
  <c r="F125" i="9"/>
  <c r="I124" i="9"/>
  <c r="F124" i="9"/>
  <c r="I123" i="9"/>
  <c r="F123" i="9"/>
  <c r="I122" i="9"/>
  <c r="F122" i="9"/>
  <c r="I121" i="9"/>
  <c r="F121" i="9"/>
  <c r="I120" i="9"/>
  <c r="F120" i="9"/>
  <c r="I119" i="9"/>
  <c r="F119" i="9"/>
  <c r="I118" i="9"/>
  <c r="F118" i="9"/>
  <c r="I117" i="9"/>
  <c r="F117" i="9"/>
  <c r="I116" i="9"/>
  <c r="F116" i="9"/>
  <c r="I115" i="9"/>
  <c r="F115" i="9"/>
  <c r="I114" i="9"/>
  <c r="F114" i="9"/>
  <c r="I113" i="9"/>
  <c r="F113" i="9"/>
  <c r="I112" i="9"/>
  <c r="F112" i="9"/>
  <c r="I111" i="9"/>
  <c r="F111" i="9"/>
  <c r="I110" i="9"/>
  <c r="F110" i="9"/>
  <c r="I109" i="9"/>
  <c r="F109" i="9"/>
  <c r="I108" i="9"/>
  <c r="F108" i="9"/>
  <c r="I107" i="9"/>
  <c r="F107" i="9"/>
  <c r="I106" i="9"/>
  <c r="F106" i="9"/>
  <c r="I105" i="9"/>
  <c r="F105" i="9"/>
  <c r="I104" i="9"/>
  <c r="F104" i="9"/>
  <c r="I103" i="9"/>
  <c r="F103" i="9"/>
  <c r="I102" i="9"/>
  <c r="F102" i="9"/>
  <c r="I101" i="9"/>
  <c r="F101" i="9"/>
  <c r="I100" i="9"/>
  <c r="F100" i="9"/>
  <c r="I99" i="9"/>
  <c r="F99" i="9"/>
  <c r="I98" i="9"/>
  <c r="F98" i="9"/>
  <c r="I97" i="9"/>
  <c r="F97" i="9"/>
  <c r="I96" i="9"/>
  <c r="F96" i="9"/>
  <c r="I95" i="9"/>
  <c r="F95" i="9"/>
  <c r="I94" i="9"/>
  <c r="F94" i="9"/>
  <c r="I93" i="9"/>
  <c r="F93" i="9"/>
  <c r="I92" i="9"/>
  <c r="F92" i="9"/>
  <c r="I91" i="9"/>
  <c r="F91" i="9"/>
  <c r="I90" i="9"/>
  <c r="F90" i="9"/>
  <c r="I89" i="9"/>
  <c r="F89" i="9"/>
  <c r="I88" i="9"/>
  <c r="F88" i="9"/>
  <c r="I87" i="9"/>
  <c r="F87" i="9"/>
  <c r="I86" i="9"/>
  <c r="F86" i="9"/>
  <c r="I85" i="9"/>
  <c r="F85" i="9"/>
  <c r="I84" i="9"/>
  <c r="F84" i="9"/>
  <c r="I83" i="9"/>
  <c r="F83" i="9"/>
  <c r="I82" i="9"/>
  <c r="F82" i="9"/>
  <c r="I81" i="9"/>
  <c r="F81" i="9"/>
  <c r="I80" i="9"/>
  <c r="F80" i="9"/>
  <c r="I79" i="9"/>
  <c r="F79" i="9"/>
  <c r="I78" i="9"/>
  <c r="F78" i="9"/>
  <c r="I77" i="9"/>
  <c r="F77" i="9"/>
  <c r="I76" i="9"/>
  <c r="F76" i="9"/>
  <c r="I75" i="9"/>
  <c r="F75" i="9"/>
  <c r="I74" i="9"/>
  <c r="F74" i="9"/>
  <c r="I73" i="9"/>
  <c r="F73" i="9"/>
  <c r="I72" i="9"/>
  <c r="F72" i="9"/>
  <c r="I71" i="9"/>
  <c r="F71" i="9"/>
  <c r="I70" i="9"/>
  <c r="F70" i="9"/>
  <c r="I69" i="9"/>
  <c r="F69" i="9"/>
  <c r="I68" i="9"/>
  <c r="F68" i="9"/>
  <c r="I67" i="9"/>
  <c r="F67" i="9"/>
  <c r="I66" i="9"/>
  <c r="F66" i="9"/>
  <c r="I65" i="9"/>
  <c r="F65" i="9"/>
  <c r="I64" i="9"/>
  <c r="F64" i="9"/>
  <c r="I63" i="9"/>
  <c r="F63" i="9"/>
  <c r="I62" i="9"/>
  <c r="F62" i="9"/>
  <c r="I61" i="9"/>
  <c r="F61" i="9"/>
  <c r="I60" i="9"/>
  <c r="F60" i="9"/>
  <c r="I59" i="9"/>
  <c r="F59" i="9"/>
  <c r="I58" i="9"/>
  <c r="F58" i="9"/>
  <c r="I57" i="9"/>
  <c r="F57" i="9"/>
  <c r="I56" i="9"/>
  <c r="F56" i="9"/>
  <c r="I55" i="9"/>
  <c r="F55" i="9"/>
  <c r="I54" i="9"/>
  <c r="F54" i="9"/>
  <c r="I53" i="9"/>
  <c r="F53" i="9"/>
  <c r="I52" i="9"/>
  <c r="F52" i="9"/>
  <c r="I51" i="9"/>
  <c r="F51" i="9"/>
  <c r="I50" i="9"/>
  <c r="F50" i="9"/>
  <c r="I49" i="9"/>
  <c r="F49" i="9"/>
  <c r="I48" i="9"/>
  <c r="F48" i="9"/>
  <c r="I47" i="9"/>
  <c r="F47" i="9"/>
  <c r="I46" i="9"/>
  <c r="F46" i="9"/>
  <c r="I45" i="9"/>
  <c r="F45" i="9"/>
  <c r="I44" i="9"/>
  <c r="F44" i="9"/>
  <c r="I43" i="9"/>
  <c r="F43" i="9"/>
  <c r="I42" i="9"/>
  <c r="F42" i="9"/>
  <c r="I41" i="9"/>
  <c r="F41" i="9"/>
  <c r="I40" i="9"/>
  <c r="F40" i="9"/>
  <c r="I39" i="9"/>
  <c r="F39" i="9"/>
  <c r="I38" i="9"/>
  <c r="F38" i="9"/>
  <c r="I37" i="9"/>
  <c r="F37" i="9"/>
  <c r="I36" i="9"/>
  <c r="F36" i="9"/>
  <c r="I35" i="9"/>
  <c r="F35" i="9"/>
  <c r="I34" i="9"/>
  <c r="F34" i="9"/>
  <c r="I33" i="9"/>
  <c r="F33" i="9"/>
  <c r="I32" i="9"/>
  <c r="F32" i="9"/>
  <c r="I31" i="9"/>
  <c r="F31" i="9"/>
  <c r="W30" i="9"/>
  <c r="V30" i="9"/>
  <c r="I30" i="9"/>
  <c r="F30" i="9"/>
  <c r="W29" i="9"/>
  <c r="V29" i="9"/>
  <c r="I29" i="9"/>
  <c r="F29" i="9"/>
  <c r="W28" i="9"/>
  <c r="V28" i="9"/>
  <c r="I28" i="9"/>
  <c r="F28" i="9"/>
  <c r="W27" i="9"/>
  <c r="V27" i="9"/>
  <c r="I27" i="9"/>
  <c r="F27" i="9"/>
  <c r="W26" i="9"/>
  <c r="V26" i="9"/>
  <c r="I26" i="9"/>
  <c r="F26" i="9"/>
  <c r="W25" i="9"/>
  <c r="V25" i="9"/>
  <c r="I25" i="9"/>
  <c r="F25" i="9"/>
  <c r="W24" i="9"/>
  <c r="V24" i="9"/>
  <c r="I24" i="9"/>
  <c r="F24" i="9"/>
  <c r="W23" i="9"/>
  <c r="V23" i="9"/>
  <c r="I23" i="9"/>
  <c r="F23" i="9"/>
  <c r="W22" i="9"/>
  <c r="V22" i="9"/>
  <c r="I22" i="9"/>
  <c r="F22" i="9"/>
  <c r="W21" i="9"/>
  <c r="V21" i="9"/>
  <c r="I21" i="9"/>
  <c r="F21" i="9"/>
  <c r="W20" i="9"/>
  <c r="V20" i="9"/>
  <c r="I20" i="9"/>
  <c r="F20" i="9"/>
  <c r="W19" i="9"/>
  <c r="V19" i="9"/>
  <c r="I19" i="9"/>
  <c r="F19" i="9"/>
  <c r="W18" i="9"/>
  <c r="V18" i="9"/>
  <c r="I18" i="9"/>
  <c r="F18" i="9"/>
  <c r="W17" i="9"/>
  <c r="V17" i="9"/>
  <c r="I17" i="9"/>
  <c r="F17" i="9"/>
  <c r="W16" i="9"/>
  <c r="V16" i="9"/>
  <c r="I16" i="9"/>
  <c r="F16" i="9"/>
  <c r="W15" i="9"/>
  <c r="V15" i="9"/>
  <c r="I15" i="9"/>
  <c r="F15" i="9"/>
  <c r="W14" i="9"/>
  <c r="V14" i="9"/>
  <c r="I14" i="9"/>
  <c r="F14" i="9"/>
  <c r="W13" i="9"/>
  <c r="V13" i="9"/>
  <c r="I13" i="9"/>
  <c r="F13" i="9"/>
  <c r="W12" i="9"/>
  <c r="V12" i="9"/>
  <c r="I12" i="9"/>
  <c r="F12" i="9"/>
  <c r="W11" i="9"/>
  <c r="V11" i="9"/>
  <c r="I11" i="9"/>
  <c r="F11" i="9"/>
  <c r="W10" i="9"/>
  <c r="V10" i="9"/>
  <c r="I10" i="9"/>
  <c r="F10" i="9"/>
  <c r="W9" i="9"/>
  <c r="V9" i="9"/>
  <c r="I9" i="9"/>
  <c r="F9" i="9"/>
  <c r="W8" i="9"/>
  <c r="V8" i="9"/>
  <c r="I8" i="9"/>
  <c r="F8" i="9"/>
  <c r="W7" i="9"/>
  <c r="V7" i="9"/>
  <c r="I7" i="9"/>
  <c r="F7" i="9"/>
  <c r="I36" i="7"/>
  <c r="H36" i="7"/>
  <c r="G36" i="7"/>
  <c r="L36" i="7" s="1"/>
  <c r="F36" i="7"/>
  <c r="J36" i="7" s="1"/>
  <c r="I35" i="7"/>
  <c r="H35" i="7"/>
  <c r="G35" i="7"/>
  <c r="L35" i="7" s="1"/>
  <c r="F35" i="7"/>
  <c r="J35" i="7" s="1"/>
  <c r="I34" i="7"/>
  <c r="H34" i="7"/>
  <c r="G34" i="7"/>
  <c r="L34" i="7" s="1"/>
  <c r="F34" i="7"/>
  <c r="J34" i="7" s="1"/>
  <c r="L33" i="7"/>
  <c r="I33" i="7"/>
  <c r="H33" i="7"/>
  <c r="J33" i="7" s="1"/>
  <c r="G33" i="7"/>
  <c r="K33" i="7" s="1"/>
  <c r="F33" i="7"/>
  <c r="L32" i="7"/>
  <c r="I32" i="7"/>
  <c r="H32" i="7"/>
  <c r="G32" i="7"/>
  <c r="F32" i="7"/>
  <c r="J32" i="7" s="1"/>
  <c r="K31" i="7"/>
  <c r="J31" i="7"/>
  <c r="I31" i="7"/>
  <c r="H31" i="7"/>
  <c r="G31" i="7"/>
  <c r="L31" i="7" s="1"/>
  <c r="F31" i="7"/>
  <c r="I30" i="7"/>
  <c r="J30" i="7" s="1"/>
  <c r="H30" i="7"/>
  <c r="G30" i="7"/>
  <c r="L30" i="7" s="1"/>
  <c r="F30" i="7"/>
  <c r="L29" i="7"/>
  <c r="I29" i="7"/>
  <c r="H29" i="7"/>
  <c r="J29" i="7" s="1"/>
  <c r="G29" i="7"/>
  <c r="F29" i="7"/>
  <c r="I28" i="7"/>
  <c r="H28" i="7"/>
  <c r="G28" i="7"/>
  <c r="L28" i="7" s="1"/>
  <c r="F28" i="7"/>
  <c r="I27" i="7"/>
  <c r="H27" i="7"/>
  <c r="G27" i="7"/>
  <c r="L27" i="7" s="1"/>
  <c r="F27" i="7"/>
  <c r="J27" i="7" s="1"/>
  <c r="I26" i="7"/>
  <c r="H26" i="7"/>
  <c r="G26" i="7"/>
  <c r="L26" i="7" s="1"/>
  <c r="F26" i="7"/>
  <c r="J26" i="7" s="1"/>
  <c r="L25" i="7"/>
  <c r="I25" i="7"/>
  <c r="H25" i="7"/>
  <c r="G25" i="7"/>
  <c r="K25" i="7" s="1"/>
  <c r="F25" i="7"/>
  <c r="J25" i="7" s="1"/>
  <c r="L24" i="7"/>
  <c r="I24" i="7"/>
  <c r="H24" i="7"/>
  <c r="G24" i="7"/>
  <c r="F24" i="7"/>
  <c r="J24" i="7" s="1"/>
  <c r="J23" i="7"/>
  <c r="I23" i="7"/>
  <c r="H23" i="7"/>
  <c r="G23" i="7"/>
  <c r="L23" i="7" s="1"/>
  <c r="F23" i="7"/>
  <c r="I22" i="7"/>
  <c r="J22" i="7" s="1"/>
  <c r="H22" i="7"/>
  <c r="G22" i="7"/>
  <c r="L22" i="7" s="1"/>
  <c r="F22" i="7"/>
  <c r="L21" i="7"/>
  <c r="I21" i="7"/>
  <c r="H21" i="7"/>
  <c r="J21" i="7" s="1"/>
  <c r="G21" i="7"/>
  <c r="F21" i="7"/>
  <c r="I20" i="7"/>
  <c r="H20" i="7"/>
  <c r="G20" i="7"/>
  <c r="L20" i="7" s="1"/>
  <c r="F20" i="7"/>
  <c r="I19" i="7"/>
  <c r="H19" i="7"/>
  <c r="G19" i="7"/>
  <c r="L19" i="7" s="1"/>
  <c r="F19" i="7"/>
  <c r="J19" i="7" s="1"/>
  <c r="I18" i="7"/>
  <c r="H18" i="7"/>
  <c r="G18" i="7"/>
  <c r="L18" i="7" s="1"/>
  <c r="F18" i="7"/>
  <c r="J18" i="7" s="1"/>
  <c r="L17" i="7"/>
  <c r="I17" i="7"/>
  <c r="H17" i="7"/>
  <c r="G17" i="7"/>
  <c r="K17" i="7" s="1"/>
  <c r="F17" i="7"/>
  <c r="J17" i="7" s="1"/>
  <c r="L16" i="7"/>
  <c r="I16" i="7"/>
  <c r="H16" i="7"/>
  <c r="G16" i="7"/>
  <c r="F16" i="7"/>
  <c r="J16" i="7" s="1"/>
  <c r="K15" i="7"/>
  <c r="J15" i="7"/>
  <c r="I15" i="7"/>
  <c r="H15" i="7"/>
  <c r="G15" i="7"/>
  <c r="L15" i="7" s="1"/>
  <c r="F15" i="7"/>
  <c r="I14" i="7"/>
  <c r="J14" i="7" s="1"/>
  <c r="H14" i="7"/>
  <c r="G14" i="7"/>
  <c r="L14" i="7" s="1"/>
  <c r="F14" i="7"/>
  <c r="L13" i="7"/>
  <c r="I13" i="7"/>
  <c r="H13" i="7"/>
  <c r="J13" i="7" s="1"/>
  <c r="G13" i="7"/>
  <c r="F13" i="7"/>
  <c r="I12" i="7"/>
  <c r="H12" i="7"/>
  <c r="G12" i="7"/>
  <c r="L12" i="7" s="1"/>
  <c r="F12" i="7"/>
  <c r="I11" i="7"/>
  <c r="H11" i="7"/>
  <c r="G11" i="7"/>
  <c r="L11" i="7" s="1"/>
  <c r="F11" i="7"/>
  <c r="J11" i="7" s="1"/>
  <c r="I10" i="7"/>
  <c r="H10" i="7"/>
  <c r="G10" i="7"/>
  <c r="L10" i="7" s="1"/>
  <c r="F10" i="7"/>
  <c r="J10" i="7" s="1"/>
  <c r="L9" i="7"/>
  <c r="I9" i="7"/>
  <c r="H9" i="7"/>
  <c r="G9" i="7"/>
  <c r="K9" i="7" s="1"/>
  <c r="F9" i="7"/>
  <c r="J9" i="7" s="1"/>
  <c r="B5" i="7"/>
  <c r="L50" i="5"/>
  <c r="L49" i="5"/>
  <c r="L48" i="5"/>
  <c r="L47" i="5"/>
  <c r="L46" i="5"/>
  <c r="L45" i="5"/>
  <c r="L44" i="5"/>
  <c r="L43" i="5"/>
  <c r="L42" i="5"/>
  <c r="L41" i="5"/>
  <c r="L40" i="5"/>
  <c r="L39" i="5"/>
  <c r="L38" i="5"/>
  <c r="L37" i="5"/>
  <c r="L36" i="5"/>
  <c r="L35" i="5"/>
  <c r="L34" i="5"/>
  <c r="L33" i="5"/>
  <c r="L32" i="5"/>
  <c r="L31" i="5"/>
  <c r="L30" i="5"/>
  <c r="L29" i="5"/>
  <c r="L28" i="5"/>
  <c r="L27" i="5"/>
  <c r="L26" i="5"/>
  <c r="L25" i="5"/>
  <c r="Q24" i="5"/>
  <c r="P24" i="5"/>
  <c r="O24" i="5"/>
  <c r="L24" i="5"/>
  <c r="Q23" i="5"/>
  <c r="P23" i="5"/>
  <c r="O23" i="5"/>
  <c r="L23" i="5"/>
  <c r="Q22" i="5"/>
  <c r="P22" i="5"/>
  <c r="O22" i="5"/>
  <c r="L22" i="5"/>
  <c r="Q21" i="5"/>
  <c r="P21" i="5"/>
  <c r="O21" i="5"/>
  <c r="L21" i="5"/>
  <c r="Q20" i="5"/>
  <c r="P20" i="5"/>
  <c r="O20" i="5"/>
  <c r="L20" i="5"/>
  <c r="Q19" i="5"/>
  <c r="P19" i="5"/>
  <c r="O19" i="5"/>
  <c r="L19" i="5"/>
  <c r="L18" i="5"/>
  <c r="L17" i="5"/>
  <c r="L16" i="5"/>
  <c r="L15" i="5"/>
  <c r="L14" i="5"/>
  <c r="P13" i="5"/>
  <c r="O13" i="5"/>
  <c r="L13" i="5"/>
  <c r="P12" i="5"/>
  <c r="O12" i="5"/>
  <c r="L12" i="5"/>
  <c r="P11" i="5"/>
  <c r="O11" i="5"/>
  <c r="L11" i="5"/>
  <c r="P10" i="5"/>
  <c r="O10" i="5"/>
  <c r="O14" i="5" s="1"/>
  <c r="L10" i="5"/>
  <c r="P9" i="5"/>
  <c r="P14" i="5" s="1"/>
  <c r="O9" i="5"/>
  <c r="O15" i="5" s="1"/>
  <c r="L9" i="5"/>
  <c r="F5" i="5" s="1"/>
  <c r="J5" i="5"/>
  <c r="H5" i="5"/>
  <c r="D5" i="5"/>
  <c r="F10" i="6" s="1"/>
  <c r="D39" i="6" s="1"/>
  <c r="B5" i="5"/>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O19" i="4" s="1"/>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N20" i="4"/>
  <c r="K20" i="4"/>
  <c r="K19" i="4"/>
  <c r="N18" i="4"/>
  <c r="K18" i="4"/>
  <c r="K17" i="4"/>
  <c r="N16" i="4"/>
  <c r="K16" i="4"/>
  <c r="K15" i="4"/>
  <c r="K14" i="4"/>
  <c r="K13" i="4"/>
  <c r="O12" i="4"/>
  <c r="K12" i="4"/>
  <c r="K11" i="4"/>
  <c r="O10" i="4"/>
  <c r="N10" i="4"/>
  <c r="K10" i="4"/>
  <c r="O9" i="4"/>
  <c r="O11" i="4" s="1"/>
  <c r="N9" i="4"/>
  <c r="N11" i="4" s="1"/>
  <c r="K9" i="4"/>
  <c r="J5" i="4" s="1"/>
  <c r="H5" i="4"/>
  <c r="F66" i="6" s="1"/>
  <c r="F5" i="4"/>
  <c r="D5" i="4"/>
  <c r="B5" i="4"/>
  <c r="K22" i="3"/>
  <c r="K23" i="3" s="1"/>
  <c r="K21" i="3"/>
  <c r="N21" i="3" s="1"/>
  <c r="N16" i="3"/>
  <c r="M16" i="3"/>
  <c r="L16" i="3"/>
  <c r="N15" i="3"/>
  <c r="M15" i="3"/>
  <c r="L15" i="3"/>
  <c r="N14" i="3"/>
  <c r="M14" i="3"/>
  <c r="L14" i="3"/>
  <c r="N13" i="3"/>
  <c r="M13" i="3"/>
  <c r="L13" i="3"/>
  <c r="N12" i="3"/>
  <c r="M12" i="3"/>
  <c r="L12" i="3"/>
  <c r="N11" i="3"/>
  <c r="M11" i="3"/>
  <c r="L11" i="3"/>
  <c r="N10" i="3"/>
  <c r="M10" i="3"/>
  <c r="L10" i="3"/>
  <c r="N9" i="3"/>
  <c r="N17" i="3" s="1"/>
  <c r="M9" i="3"/>
  <c r="M17" i="3" s="1"/>
  <c r="L9" i="3"/>
  <c r="L17" i="3" s="1"/>
  <c r="H5" i="3"/>
  <c r="F5" i="3"/>
  <c r="D5" i="3"/>
  <c r="B5" i="3"/>
  <c r="H6" i="6" s="1"/>
  <c r="D34" i="6" s="1"/>
  <c r="D60" i="2"/>
  <c r="D59" i="2"/>
  <c r="D58" i="2"/>
  <c r="D57" i="2"/>
  <c r="D61" i="2" s="1"/>
  <c r="E52" i="2"/>
  <c r="D52" i="2"/>
  <c r="E51" i="2"/>
  <c r="F49" i="2" s="1"/>
  <c r="E50" i="2"/>
  <c r="D50" i="2"/>
  <c r="E49" i="2"/>
  <c r="D49" i="2"/>
  <c r="D51" i="2" s="1"/>
  <c r="G45" i="2"/>
  <c r="E45" i="2"/>
  <c r="D45" i="2"/>
  <c r="G44" i="2"/>
  <c r="E44" i="2"/>
  <c r="D44" i="2"/>
  <c r="G43" i="2"/>
  <c r="E43" i="2"/>
  <c r="D43" i="2"/>
  <c r="E42" i="2"/>
  <c r="E46" i="2" s="1"/>
  <c r="D42" i="2"/>
  <c r="G42" i="2" s="1"/>
  <c r="E35" i="2"/>
  <c r="D35" i="2"/>
  <c r="G35" i="2" s="1"/>
  <c r="B35" i="2"/>
  <c r="E34" i="2"/>
  <c r="B34" i="2"/>
  <c r="D34" i="2" s="1"/>
  <c r="G34" i="2" s="1"/>
  <c r="B33" i="2"/>
  <c r="E33" i="2" s="1"/>
  <c r="B32" i="2"/>
  <c r="D32" i="2" s="1"/>
  <c r="E31" i="2"/>
  <c r="D31" i="2"/>
  <c r="G31" i="2" s="1"/>
  <c r="B31" i="2"/>
  <c r="E30" i="2"/>
  <c r="B30" i="2"/>
  <c r="D30" i="2" s="1"/>
  <c r="G30" i="2" s="1"/>
  <c r="B29" i="2"/>
  <c r="E29" i="2" s="1"/>
  <c r="B28" i="2"/>
  <c r="E28" i="2" s="1"/>
  <c r="B12" i="2"/>
  <c r="B13" i="2" s="1"/>
  <c r="E11" i="2"/>
  <c r="D15" i="6" s="1"/>
  <c r="D11" i="2"/>
  <c r="B11" i="2"/>
  <c r="G11" i="2" s="1"/>
  <c r="L6" i="2"/>
  <c r="H6" i="2"/>
  <c r="J6" i="2" s="1"/>
  <c r="D10" i="6" s="1"/>
  <c r="D38" i="6" s="1"/>
  <c r="F6" i="2"/>
  <c r="F6" i="6" s="1"/>
  <c r="D33" i="6" s="1"/>
  <c r="D6" i="2"/>
  <c r="D6" i="6" s="1"/>
  <c r="D32" i="6" s="1"/>
  <c r="B6" i="2"/>
  <c r="B6" i="6" s="1"/>
  <c r="E60" i="2" l="1"/>
  <c r="E59" i="2"/>
  <c r="E58" i="2"/>
  <c r="E57" i="2"/>
  <c r="E61" i="2" s="1"/>
  <c r="B62" i="2"/>
  <c r="O16" i="3"/>
  <c r="O14" i="3"/>
  <c r="O12" i="3"/>
  <c r="O10" i="3"/>
  <c r="K18" i="3"/>
  <c r="O15" i="3"/>
  <c r="O13" i="3"/>
  <c r="O11" i="3"/>
  <c r="O9" i="3"/>
  <c r="N23" i="3"/>
  <c r="M23" i="3"/>
  <c r="L23" i="3"/>
  <c r="E17" i="6" s="1"/>
  <c r="K24" i="3"/>
  <c r="H5" i="7"/>
  <c r="L6" i="6"/>
  <c r="D36" i="6" s="1"/>
  <c r="D31" i="6"/>
  <c r="J6" i="6"/>
  <c r="D35" i="6" s="1"/>
  <c r="J10" i="6"/>
  <c r="D41" i="6" s="1"/>
  <c r="F63" i="6"/>
  <c r="E13" i="2"/>
  <c r="D17" i="6" s="1"/>
  <c r="G13" i="2"/>
  <c r="D13" i="2"/>
  <c r="F13" i="2"/>
  <c r="B14" i="2"/>
  <c r="B17" i="6"/>
  <c r="F45" i="2"/>
  <c r="F43" i="2"/>
  <c r="F44" i="2"/>
  <c r="F42" i="2"/>
  <c r="N16" i="5"/>
  <c r="Q13" i="5"/>
  <c r="Q11" i="5"/>
  <c r="Q9" i="5"/>
  <c r="H10" i="6"/>
  <c r="D40" i="6" s="1"/>
  <c r="Q12" i="5"/>
  <c r="Q10" i="5"/>
  <c r="M13" i="4"/>
  <c r="P10" i="4"/>
  <c r="P9" i="4"/>
  <c r="B10" i="6"/>
  <c r="D37" i="6" s="1"/>
  <c r="K16" i="7"/>
  <c r="K24" i="7"/>
  <c r="K32" i="7"/>
  <c r="L22" i="3"/>
  <c r="E16" i="6" s="1"/>
  <c r="O16" i="4"/>
  <c r="O18" i="4"/>
  <c r="O20" i="4"/>
  <c r="K23" i="7"/>
  <c r="E12" i="2"/>
  <c r="D29" i="2"/>
  <c r="G29" i="2" s="1"/>
  <c r="E32" i="2"/>
  <c r="E36" i="2" s="1"/>
  <c r="F50" i="2"/>
  <c r="F51" i="2" s="1"/>
  <c r="M22" i="3"/>
  <c r="K14" i="7"/>
  <c r="K22" i="7"/>
  <c r="K30" i="7"/>
  <c r="D12" i="2"/>
  <c r="D46" i="2"/>
  <c r="G46" i="2" s="1"/>
  <c r="F12" i="2"/>
  <c r="N22" i="3"/>
  <c r="P15" i="5"/>
  <c r="B16" i="6"/>
  <c r="J12" i="7"/>
  <c r="D5" i="7" s="1"/>
  <c r="K13" i="7"/>
  <c r="J20" i="7"/>
  <c r="K21" i="7"/>
  <c r="J28" i="7"/>
  <c r="K29" i="7"/>
  <c r="N17" i="4"/>
  <c r="N21" i="4" s="1"/>
  <c r="N19" i="4"/>
  <c r="K12" i="7"/>
  <c r="K20" i="7"/>
  <c r="K28" i="7"/>
  <c r="K36" i="7"/>
  <c r="G12" i="2"/>
  <c r="L21" i="3"/>
  <c r="O17" i="4"/>
  <c r="L10" i="6"/>
  <c r="D42" i="6" s="1"/>
  <c r="K11" i="7"/>
  <c r="F5" i="7" s="1"/>
  <c r="K19" i="7"/>
  <c r="K27" i="7"/>
  <c r="K35" i="7"/>
  <c r="D28" i="2"/>
  <c r="F11" i="2"/>
  <c r="D33" i="2"/>
  <c r="G33" i="2" s="1"/>
  <c r="M21" i="3"/>
  <c r="B15" i="6"/>
  <c r="K10" i="7"/>
  <c r="K18" i="7"/>
  <c r="K26" i="7"/>
  <c r="K34" i="7"/>
  <c r="F28" i="2" l="1"/>
  <c r="F31" i="2"/>
  <c r="B37" i="2"/>
  <c r="F34" i="2"/>
  <c r="F29" i="2"/>
  <c r="F32" i="2"/>
  <c r="F30" i="2"/>
  <c r="F35" i="2"/>
  <c r="F33" i="2"/>
  <c r="Q14" i="5"/>
  <c r="G32" i="2"/>
  <c r="P11" i="4"/>
  <c r="O17" i="3"/>
  <c r="O21" i="4"/>
  <c r="B15" i="2"/>
  <c r="G14" i="2"/>
  <c r="F14" i="2"/>
  <c r="B18" i="6"/>
  <c r="E14" i="2"/>
  <c r="D18" i="6" s="1"/>
  <c r="D14" i="2"/>
  <c r="E15" i="6"/>
  <c r="K25" i="3"/>
  <c r="N24" i="3"/>
  <c r="M24" i="3"/>
  <c r="L24" i="3"/>
  <c r="E18" i="6" s="1"/>
  <c r="F46" i="2"/>
  <c r="F17" i="6"/>
  <c r="G17" i="6" s="1"/>
  <c r="D36" i="2"/>
  <c r="G36" i="2" s="1"/>
  <c r="G28" i="2"/>
  <c r="D16" i="6"/>
  <c r="F18" i="6" l="1"/>
  <c r="G18" i="6" s="1"/>
  <c r="G16" i="6"/>
  <c r="F16" i="6"/>
  <c r="N25" i="3"/>
  <c r="K26" i="3"/>
  <c r="M25" i="3"/>
  <c r="L25" i="3"/>
  <c r="E19" i="6" s="1"/>
  <c r="D15" i="2"/>
  <c r="B16" i="2"/>
  <c r="G15" i="2"/>
  <c r="E15" i="2"/>
  <c r="D19" i="6" s="1"/>
  <c r="B19" i="6"/>
  <c r="F15" i="2"/>
  <c r="F15" i="6"/>
  <c r="P19" i="4"/>
  <c r="P17" i="4"/>
  <c r="P20" i="4"/>
  <c r="P18" i="4"/>
  <c r="P16" i="4"/>
  <c r="M22" i="4"/>
  <c r="F36" i="2"/>
  <c r="K27" i="3" l="1"/>
  <c r="N26" i="3"/>
  <c r="M26" i="3"/>
  <c r="L26" i="3"/>
  <c r="E20" i="6" s="1"/>
  <c r="G15" i="6"/>
  <c r="F19" i="6"/>
  <c r="G19" i="6" s="1"/>
  <c r="P21" i="4"/>
  <c r="B20" i="6"/>
  <c r="F16" i="2"/>
  <c r="B17" i="2"/>
  <c r="E16" i="2"/>
  <c r="D20" i="6" s="1"/>
  <c r="D16" i="2"/>
  <c r="G16" i="2"/>
  <c r="N27" i="3" l="1"/>
  <c r="M27" i="3"/>
  <c r="L27" i="3"/>
  <c r="E21" i="6" s="1"/>
  <c r="K28" i="3"/>
  <c r="F20" i="6"/>
  <c r="G20" i="6" s="1"/>
  <c r="B18" i="2"/>
  <c r="G17" i="2"/>
  <c r="F17" i="2"/>
  <c r="B21" i="6"/>
  <c r="E17" i="2"/>
  <c r="D21" i="6" s="1"/>
  <c r="D17" i="2"/>
  <c r="F21" i="6" l="1"/>
  <c r="G21" i="6"/>
  <c r="D18" i="2"/>
  <c r="E18" i="2"/>
  <c r="D22" i="6" s="1"/>
  <c r="B19" i="2"/>
  <c r="F18" i="2"/>
  <c r="G18" i="2"/>
  <c r="B22" i="6"/>
  <c r="K29" i="3"/>
  <c r="N28" i="3"/>
  <c r="M28" i="3"/>
  <c r="L28" i="3"/>
  <c r="E22" i="6" s="1"/>
  <c r="F22" i="6" l="1"/>
  <c r="N29" i="3"/>
  <c r="M29" i="3"/>
  <c r="K30" i="3"/>
  <c r="L29" i="3"/>
  <c r="E23" i="6" s="1"/>
  <c r="G19" i="2"/>
  <c r="B23" i="6"/>
  <c r="F19" i="2"/>
  <c r="E19" i="2"/>
  <c r="D23" i="6" s="1"/>
  <c r="B20" i="2"/>
  <c r="D19" i="2"/>
  <c r="K31" i="3" l="1"/>
  <c r="N30" i="3"/>
  <c r="M30" i="3"/>
  <c r="L30" i="3"/>
  <c r="E24" i="6" s="1"/>
  <c r="D20" i="2"/>
  <c r="B21" i="2"/>
  <c r="G20" i="2"/>
  <c r="B24" i="6"/>
  <c r="F20" i="2"/>
  <c r="E20" i="2"/>
  <c r="D24" i="6" s="1"/>
  <c r="F23" i="6"/>
  <c r="G23" i="6" s="1"/>
  <c r="G22" i="6"/>
  <c r="F24" i="6" l="1"/>
  <c r="G24" i="6" s="1"/>
  <c r="E21" i="2"/>
  <c r="D25" i="6" s="1"/>
  <c r="G21" i="2"/>
  <c r="F21" i="2"/>
  <c r="D21" i="2"/>
  <c r="B22" i="2"/>
  <c r="B25" i="6"/>
  <c r="N31" i="3"/>
  <c r="K32" i="3"/>
  <c r="M31" i="3"/>
  <c r="L31" i="3"/>
  <c r="E25" i="6" s="1"/>
  <c r="G22" i="2" l="1"/>
  <c r="G23" i="2" s="1"/>
  <c r="F22" i="2"/>
  <c r="F23" i="2" s="1"/>
  <c r="B26" i="6"/>
  <c r="E22" i="2"/>
  <c r="D22" i="2"/>
  <c r="D23" i="2" s="1"/>
  <c r="F25" i="6"/>
  <c r="G25" i="6" s="1"/>
  <c r="N32" i="3"/>
  <c r="N33" i="3" s="1"/>
  <c r="M32" i="3"/>
  <c r="M33" i="3" s="1"/>
  <c r="L32" i="3"/>
  <c r="E26" i="6" l="1"/>
  <c r="E27" i="6" s="1"/>
  <c r="L33" i="3"/>
  <c r="D26" i="6"/>
  <c r="E23" i="2"/>
  <c r="F64" i="6" l="1"/>
  <c r="B24" i="2"/>
  <c r="F26" i="6"/>
  <c r="F27" i="6" s="1"/>
  <c r="D27" i="6"/>
  <c r="G27" i="6" s="1"/>
  <c r="K34" i="3"/>
  <c r="F65" i="6"/>
  <c r="G26" i="6" l="1"/>
</calcChain>
</file>

<file path=xl/sharedStrings.xml><?xml version="1.0" encoding="utf-8"?>
<sst xmlns="http://schemas.openxmlformats.org/spreadsheetml/2006/main" count="3369" uniqueCount="1281">
  <si>
    <t>AI Excel Business Toolkit</t>
  </si>
  <si>
    <t>Sales  •  Expenses  •  Invoices  •  CRM  •  KPIs  •  Data Cleaning  •  AI Prompts  —  one editable, macro-free workbook</t>
  </si>
  <si>
    <t>Workbook settings  (the only two cells you must review)</t>
  </si>
  <si>
    <t>Report as-of date</t>
  </si>
  <si>
    <t>Used to find overdue invoices and follow-ups. The example data is built for 30 Sep 2026. Type =TODAY() to make it update automatically.</t>
  </si>
  <si>
    <t>First month shown</t>
  </si>
  <si>
    <t>Monthly tables and charts cover 12 months starting here. Use the 1st of a month. Example data runs Oct 2025 to Sep 2026.</t>
  </si>
  <si>
    <t>What this toolkit does</t>
  </si>
  <si>
    <t>The AI Excel Business Toolkit turns Excel into a small-business control centre. Record sales, expenses, invoices and leads in simple tables, and the dashboards update automatically with totals, paid versus pending revenue, overdue invoices, pipeline value and monthly trends. A data-cleaning sheet fixes messy customer lists with editable formulas, and a library of 46 ready-to-use AI prompts helps you write formulas, analyse results and explain the numbers.</t>
  </si>
  <si>
    <t>Who it is for</t>
  </si>
  <si>
    <t>Small businesses, freelancers, consultants, students, assistants, analysts and entrepreneurs who want a clear picture of their numbers without learning macros or buying specialist software. Everything is standard Excel: formulas, Tables, conditional formatting and charts you can edit.</t>
  </si>
  <si>
    <t>Quick start</t>
  </si>
  <si>
    <t>Step 1</t>
  </si>
  <si>
    <t>Open the workbook in Microsoft Excel (2016 or later, or Microsoft 365) and keep calculation on Automatic (Formulas &gt; Calculation Options).</t>
  </si>
  <si>
    <t>Step 2</t>
  </si>
  <si>
    <t>Read this page, then confirm the two settings above (as-of date and first month).</t>
  </si>
  <si>
    <t>Step 3</t>
  </si>
  <si>
    <t>Browse the example data on EXAMPLE_DATA, EXPENSES, INVOICES and CRM to see how each record type looks.</t>
  </si>
  <si>
    <t>Step 4</t>
  </si>
  <si>
    <t>Replace the example rows with your own data (see the next section), keeping the column headers exactly as they are.</t>
  </si>
  <si>
    <t>Step 5</t>
  </si>
  <si>
    <t>Click into a few formulas (F2) to see how they work. Formulas in teal-header columns fill in automatically.</t>
  </si>
  <si>
    <t>Step 6</t>
  </si>
  <si>
    <t>Open SALES_DASHBOARD and KPI_DASHBOARD and check that the totals match your own records.</t>
  </si>
  <si>
    <t>Step 7</t>
  </si>
  <si>
    <t>Copy prompts from AI_PROMPTS into your AI assistant whenever you need help with formulas, analysis or reports.</t>
  </si>
  <si>
    <t>Worksheet guide  (click a name to jump to the sheet)</t>
  </si>
  <si>
    <t>Worksheet</t>
  </si>
  <si>
    <t>What it does</t>
  </si>
  <si>
    <t>What you edit</t>
  </si>
  <si>
    <t>SALES_DASHBOARD</t>
  </si>
  <si>
    <t>KPI cards, revenue by month, product, category and payment status, orders by status, with charts.</t>
  </si>
  <si>
    <t>Nothing: it reads tblSales on EXAMPLE_DATA.</t>
  </si>
  <si>
    <t>EXPENSES</t>
  </si>
  <si>
    <t>Expense log with totals, paid versus pending, category and monthly summaries and charts.</t>
  </si>
  <si>
    <t>The expense table (navy headers).</t>
  </si>
  <si>
    <t>INVOICES</t>
  </si>
  <si>
    <t>Invoice tracker that flags overdue invoices, with aging buckets and status totals.</t>
  </si>
  <si>
    <t>The invoice table (navy headers).</t>
  </si>
  <si>
    <t>CRM</t>
  </si>
  <si>
    <t>Lead and customer list with pipeline stages, follow-up alerts and pipeline value.</t>
  </si>
  <si>
    <t>The lead table (navy headers).</t>
  </si>
  <si>
    <t>KPI_DASHBOARD</t>
  </si>
  <si>
    <t>Management view: 12 KPIs, monthly revenue versus expenses, and how each KPI is calculated.</t>
  </si>
  <si>
    <t>Nothing: all values are formulas.</t>
  </si>
  <si>
    <t>DATA_CLEANER</t>
  </si>
  <si>
    <t>Paste raw names, emails, countries and phones and get cleaned, flagged results.</t>
  </si>
  <si>
    <t>Raw columns and the country lookup.</t>
  </si>
  <si>
    <t>AI_PROMPTS</t>
  </si>
  <si>
    <t>46 copy-ready prompts in 18 categories for formulas, analysis, reporting and more.</t>
  </si>
  <si>
    <t>Copy prompts; add your own rows.</t>
  </si>
  <si>
    <t>EXAMPLE_DATA</t>
  </si>
  <si>
    <t>Sales orders, product catalog and customers used by the dashboards.</t>
  </si>
  <si>
    <t>Sales, products and customers.</t>
  </si>
  <si>
    <t>Replacing the example data</t>
  </si>
  <si>
    <t>1.  Go to the table you want to fill (for example the expense table on EXPENSES).</t>
  </si>
  <si>
    <t>2.  Select the example rows in the navy-header columns only and press Delete. Do not delete the table itself or its header row. Leave teal-header formula columns alone.</t>
  </si>
  <si>
    <t>3.  Type or paste your own rows starting directly under the header. The table grows automatically and formulas, formats and drop-downs extend with it.</t>
  </si>
  <si>
    <t>4.  Keep dates as real Excel dates and amounts as plain numbers (no currency symbols typed into the cell).</t>
  </si>
  <si>
    <t>5.  Use the drop-downs for Status, Stage and Payment Status so the summaries recognise your entries. To rename or add a category, edit the summary labels on the dashboard sheet as well.</t>
  </si>
  <si>
    <t>6.  To remove leftover example rows completely, right-click a row inside the table and choose Delete &gt; Table Rows.</t>
  </si>
  <si>
    <t>Important notes about formulas</t>
  </si>
  <si>
    <t>•  Dashboards use SUMIFS, COUNTIFS, INDEX and MATCH, and read the tables by name (for example tblSales[Order Total]). They keep working when you add rows.</t>
  </si>
  <si>
    <t>•  Revenue always excludes Cancelled orders. Total revenue = Paid + Pending. Pending means an order is still awaiting payment; it is not cancelled.</t>
  </si>
  <si>
    <t>•  An invoice is overdue when its Status is Pending and its Due Date is earlier than the as-of date. Overdue invoices are a subset of Pending.</t>
  </si>
  <si>
    <t>•  Never type over a formula cell. If you do, click the cell and use Undo (Ctrl+Z) or copy the formula from the row above.</t>
  </si>
  <si>
    <t>•  There are no macros, no external links and no data connections. Everything recalculates inside this file.</t>
  </si>
  <si>
    <t>Customizing the workbook</t>
  </si>
  <si>
    <t>•  Change categories, products, lead sources and stages by editing the lists on the dashboards and the drop-down values (Data &gt; Data Validation).</t>
  </si>
  <si>
    <t>•  Change colours from the Page Layout tab, or restyle any table from Table Design &gt; Table Styles.</t>
  </si>
  <si>
    <t>•  Change the currency by selecting the cells and choosing another format (Home &gt; Number Format &gt; More Number Formats &gt; Currency).</t>
  </si>
  <si>
    <t>•  Add a chart by selecting a summary range and choosing Insert &gt; Chart. Existing charts can be edited like any Excel chart.</t>
  </si>
  <si>
    <t>Using the AI_PROMPTS sheet</t>
  </si>
  <si>
    <t>Filter by category, click the Prompt cell, copy it, paste it into your AI assistant and replace anything in [SQUARE BRACKETS] with your own details. Paste only the data the assistant needs and remove customer names, emails, phone numbers and other sensitive details first. Always check formulas and figures produced by an AI assistant against your own data before relying on them.</t>
  </si>
  <si>
    <t>Back up your data</t>
  </si>
  <si>
    <t>Save a copy of this workbook before you replace the example data, and save dated copies regularly (for example, one at the end of each month). Keep backups in a second location such as cloud storage or an external drive. Keep original exports of your raw data untouched.</t>
  </si>
  <si>
    <t>Colour guide</t>
  </si>
  <si>
    <t>Navy header</t>
  </si>
  <si>
    <t>Columns where you type or paste your own data.</t>
  </si>
  <si>
    <t>Teal header</t>
  </si>
  <si>
    <t>Formula columns that calculate automatically. Do not overwrite.</t>
  </si>
  <si>
    <t>Yellow cell</t>
  </si>
  <si>
    <t>Workbook settings you may change (as-of date, first month).</t>
  </si>
  <si>
    <t>AI Excel Business Toolkit  •  Version 1.0  •  All example names, companies and figures are fictional.</t>
  </si>
  <si>
    <t>Sales Dashboard</t>
  </si>
  <si>
    <t>Calculated from tblSales on EXAMPLE_DATA. Cancelled orders are excluded from revenue. Total revenue = Paid + Pending.</t>
  </si>
  <si>
    <t>TOTAL REVENUE</t>
  </si>
  <si>
    <t>PAID REVENUE</t>
  </si>
  <si>
    <t>PENDING REVENUE</t>
  </si>
  <si>
    <t>NUMBER OF ORDERS</t>
  </si>
  <si>
    <t>AVG. ORDER VALUE</t>
  </si>
  <si>
    <t>ACTIVE CUSTOMERS</t>
  </si>
  <si>
    <t>Invoiced / booked, excl. cancelled</t>
  </si>
  <si>
    <t>Payment received</t>
  </si>
  <si>
    <t>Awaiting payment</t>
  </si>
  <si>
    <t>Excl. cancelled orders</t>
  </si>
  <si>
    <t>Total revenue / orders</t>
  </si>
  <si>
    <t>Customers with 1+ live order</t>
  </si>
  <si>
    <t>Revenue by month</t>
  </si>
  <si>
    <t>Month</t>
  </si>
  <si>
    <t>Orders</t>
  </si>
  <si>
    <t>Total Revenue</t>
  </si>
  <si>
    <t>Paid</t>
  </si>
  <si>
    <t>Pending</t>
  </si>
  <si>
    <t>Total (12 months)</t>
  </si>
  <si>
    <t>Revenue by product</t>
  </si>
  <si>
    <t>Product</t>
  </si>
  <si>
    <t>Revenue</t>
  </si>
  <si>
    <t>% of Revenue</t>
  </si>
  <si>
    <t>Avg. per Order</t>
  </si>
  <si>
    <t>Total</t>
  </si>
  <si>
    <t>Revenue by category and payment status</t>
  </si>
  <si>
    <t>Category</t>
  </si>
  <si>
    <t>Digital Products</t>
  </si>
  <si>
    <t>Consulting</t>
  </si>
  <si>
    <t>Training</t>
  </si>
  <si>
    <t>Support Plans</t>
  </si>
  <si>
    <t>Payment Status</t>
  </si>
  <si>
    <t>Total revenue</t>
  </si>
  <si>
    <t>Memo: cancelled (excluded)</t>
  </si>
  <si>
    <t>Orders by status</t>
  </si>
  <si>
    <t>Order Status</t>
  </si>
  <si>
    <t>% of Orders</t>
  </si>
  <si>
    <t>Delivered</t>
  </si>
  <si>
    <t>Shipped</t>
  </si>
  <si>
    <t>Processing</t>
  </si>
  <si>
    <t>Cancelled</t>
  </si>
  <si>
    <t>All orders</t>
  </si>
  <si>
    <t>How to read this dashboard</t>
  </si>
  <si>
    <t>Total revenue: all orders that are not cancelled, valued at Quantity x Unit Price.</t>
  </si>
  <si>
    <t>Paid revenue: those orders whose Payment Status is Paid. Pending revenue: Payment Status Pending.</t>
  </si>
  <si>
    <t>Orders by status counts every order, including cancelled ones, so you can see cancellations.</t>
  </si>
  <si>
    <t>Expenses</t>
  </si>
  <si>
    <t>Record every expense in the table below. Summaries and charts on the right update automatically.</t>
  </si>
  <si>
    <t>TOTAL EXPENSES</t>
  </si>
  <si>
    <t>PAID EXPENSES</t>
  </si>
  <si>
    <t>PENDING EXPENSES</t>
  </si>
  <si>
    <t>NUMBER OF EXPENSES</t>
  </si>
  <si>
    <t>All recorded expenses</t>
  </si>
  <si>
    <t>Already paid</t>
  </si>
  <si>
    <t>Still to pay</t>
  </si>
  <si>
    <t>Rows in the table</t>
  </si>
  <si>
    <t>Date</t>
  </si>
  <si>
    <t>Vendor</t>
  </si>
  <si>
    <t>Description</t>
  </si>
  <si>
    <t>Amount</t>
  </si>
  <si>
    <t>Payment Method</t>
  </si>
  <si>
    <t>Notes</t>
  </si>
  <si>
    <t>Expenses by Category</t>
  </si>
  <si>
    <t>% of Total</t>
  </si>
  <si>
    <t>Cedar Street Properties</t>
  </si>
  <si>
    <t>Rent &amp; Utilities</t>
  </si>
  <si>
    <t>Office rent</t>
  </si>
  <si>
    <t>Bank Transfer</t>
  </si>
  <si>
    <t>Recurring</t>
  </si>
  <si>
    <t>Lena Ortiz (Contractor)</t>
  </si>
  <si>
    <t>Payroll &amp; Contractors</t>
  </si>
  <si>
    <t>Part-time bookkeeping</t>
  </si>
  <si>
    <t>Monthly retainer</t>
  </si>
  <si>
    <t>Software &amp; Subscriptions</t>
  </si>
  <si>
    <t>CloudDesk 365</t>
  </si>
  <si>
    <t>Team productivity suite</t>
  </si>
  <si>
    <t>Credit Card</t>
  </si>
  <si>
    <t>Marketing &amp; Advertising</t>
  </si>
  <si>
    <t>Stackline Software</t>
  </si>
  <si>
    <t>Accounting software</t>
  </si>
  <si>
    <t>Metro Power &amp; Water</t>
  </si>
  <si>
    <t>Electricity and water</t>
  </si>
  <si>
    <t>Direct Debit</t>
  </si>
  <si>
    <t>Office &amp; Supplies</t>
  </si>
  <si>
    <t>MailPilot</t>
  </si>
  <si>
    <t>Email marketing platform</t>
  </si>
  <si>
    <t>Travel &amp; Meals</t>
  </si>
  <si>
    <t>Corner Cafe Catering</t>
  </si>
  <si>
    <t>Client lunch meetings</t>
  </si>
  <si>
    <t>Professional Services</t>
  </si>
  <si>
    <t>Paperworks Supply</t>
  </si>
  <si>
    <t>Stationery and printer supplies</t>
  </si>
  <si>
    <t>Taxes &amp; Fees</t>
  </si>
  <si>
    <t>PayLink Processing</t>
  </si>
  <si>
    <t>Payment processing fees</t>
  </si>
  <si>
    <t>AdReach Network</t>
  </si>
  <si>
    <t>Search advertising</t>
  </si>
  <si>
    <t>Harlan Web Studio</t>
  </si>
  <si>
    <t>Website maintenance</t>
  </si>
  <si>
    <t>Whitmore &amp; Lane LLP</t>
  </si>
  <si>
    <t>Quarterly accounting review</t>
  </si>
  <si>
    <t>Monthly Expenses</t>
  </si>
  <si>
    <t>Team payroll</t>
  </si>
  <si>
    <t>Staff salaries</t>
  </si>
  <si>
    <t>Brightline Print</t>
  </si>
  <si>
    <t>Brochures and banners</t>
  </si>
  <si>
    <t>SkyRoute Travel</t>
  </si>
  <si>
    <t>Client site visit travel</t>
  </si>
  <si>
    <t>Reimbursable by client</t>
  </si>
  <si>
    <t>State Revenue Office</t>
  </si>
  <si>
    <t>Quarterly estimated tax</t>
  </si>
  <si>
    <t>Contract review</t>
  </si>
  <si>
    <t>Invoices</t>
  </si>
  <si>
    <t>Overdue = Status is Pending and the Due Date is before the as-of date (set on START_HERE). Overdue invoices are part of Pending.</t>
  </si>
  <si>
    <t>TOTAL INVOICED</t>
  </si>
  <si>
    <t>TOTAL PAID</t>
  </si>
  <si>
    <t>TOTAL PENDING</t>
  </si>
  <si>
    <t>TOTAL OVERDUE</t>
  </si>
  <si>
    <t>OVERDUE INVOICES</t>
  </si>
  <si>
    <t>All invoices in the table</t>
  </si>
  <si>
    <t>Status = Paid</t>
  </si>
  <si>
    <t>Unpaid (incl. overdue)</t>
  </si>
  <si>
    <t>Pending and past due</t>
  </si>
  <si>
    <t>Number of invoices</t>
  </si>
  <si>
    <t>Invoice Number</t>
  </si>
  <si>
    <t>Customer</t>
  </si>
  <si>
    <t>Invoice Date</t>
  </si>
  <si>
    <t>Due Date</t>
  </si>
  <si>
    <t>Status</t>
  </si>
  <si>
    <t>Payment Date</t>
  </si>
  <si>
    <t>Days Overdue</t>
  </si>
  <si>
    <t>Status Summary</t>
  </si>
  <si>
    <t>INV-2026-0001</t>
  </si>
  <si>
    <t>Northgate Dental Group</t>
  </si>
  <si>
    <t>Priority Support Plan x 5</t>
  </si>
  <si>
    <t>Order ORD-1001 - paid late</t>
  </si>
  <si>
    <t>INV-2026-0002</t>
  </si>
  <si>
    <t>Meridian Health Clinic</t>
  </si>
  <si>
    <t>Monthly Advisory Retainer x 4</t>
  </si>
  <si>
    <t>Order ORD-1002</t>
  </si>
  <si>
    <t>INV-2026-0003</t>
  </si>
  <si>
    <t>Orchard Lane Education</t>
  </si>
  <si>
    <t>Setup &amp; Onboarding x 2</t>
  </si>
  <si>
    <t>Order ORD-1003</t>
  </si>
  <si>
    <t>Total invoiced</t>
  </si>
  <si>
    <t>INV-2026-0004</t>
  </si>
  <si>
    <t>Atlas Freight Partners</t>
  </si>
  <si>
    <t>Online Course Seat x 5</t>
  </si>
  <si>
    <t>Order ORD-1007</t>
  </si>
  <si>
    <t>Avg. days to get paid</t>
  </si>
  <si>
    <t>INV-2026-0005</t>
  </si>
  <si>
    <t>Pixelforge Media</t>
  </si>
  <si>
    <t>Strategy Session (1 hr) x 4</t>
  </si>
  <si>
    <t>Order ORD-1011 - paid late</t>
  </si>
  <si>
    <t>INV-2026-0006</t>
  </si>
  <si>
    <t>Alder &amp; Finch Accounting</t>
  </si>
  <si>
    <t>Priority Support Plan x 4</t>
  </si>
  <si>
    <t>Order ORD-1013</t>
  </si>
  <si>
    <t>INV-2026-0007</t>
  </si>
  <si>
    <t>Brightpath Logistics</t>
  </si>
  <si>
    <t>Excel Workshop (Team) x 1</t>
  </si>
  <si>
    <t>Order ORD-1016 - paid late</t>
  </si>
  <si>
    <t>Aging of Unpaid Invoices</t>
  </si>
  <si>
    <t>% of Unpaid</t>
  </si>
  <si>
    <t>INV-2026-0008</t>
  </si>
  <si>
    <t>Online Course Seat x 8</t>
  </si>
  <si>
    <t>Order ORD-1018</t>
  </si>
  <si>
    <t>Not yet due</t>
  </si>
  <si>
    <t>INV-2026-0009</t>
  </si>
  <si>
    <t>Online Course Seat x 9</t>
  </si>
  <si>
    <t>Order ORD-1020 - paid late</t>
  </si>
  <si>
    <t>1-30 days overdue</t>
  </si>
  <si>
    <t>INV-2026-0010</t>
  </si>
  <si>
    <t>Online Course Seat x 10</t>
  </si>
  <si>
    <t>Order ORD-1021</t>
  </si>
  <si>
    <t>31-60 days overdue</t>
  </si>
  <si>
    <t>INV-2026-0011</t>
  </si>
  <si>
    <t>Monthly Advisory Retainer x 3</t>
  </si>
  <si>
    <t>Order ORD-1022</t>
  </si>
  <si>
    <t>61-90 days overdue</t>
  </si>
  <si>
    <t>INV-2026-0012</t>
  </si>
  <si>
    <t>Tidewater Marine Supply</t>
  </si>
  <si>
    <t>Order ORD-1024 - paid late</t>
  </si>
  <si>
    <t>Over 90 days overdue</t>
  </si>
  <si>
    <t>INV-2026-0013</t>
  </si>
  <si>
    <t>Priority Support Plan x 3</t>
  </si>
  <si>
    <t>Order ORD-1025</t>
  </si>
  <si>
    <t>Total unpaid</t>
  </si>
  <si>
    <t>INV-2026-0014</t>
  </si>
  <si>
    <t>Order ORD-1026 - paid late</t>
  </si>
  <si>
    <t>INV-2026-0015</t>
  </si>
  <si>
    <t>Redwood Property Mgmt</t>
  </si>
  <si>
    <t>Order ORD-1027 - paid late</t>
  </si>
  <si>
    <t>INV-2026-0016</t>
  </si>
  <si>
    <t>Order ORD-1029</t>
  </si>
  <si>
    <t>INV-2026-0017</t>
  </si>
  <si>
    <t>Monthly Advisory Retainer x 2</t>
  </si>
  <si>
    <t>Order ORD-1030 - paid late</t>
  </si>
  <si>
    <t>INV-2026-0018</t>
  </si>
  <si>
    <t>Order ORD-1031</t>
  </si>
  <si>
    <t>INV-2026-0019</t>
  </si>
  <si>
    <t>Lumen Analytics Ltd</t>
  </si>
  <si>
    <t>Order ORD-1032</t>
  </si>
  <si>
    <t>INV-2026-0020</t>
  </si>
  <si>
    <t>Ironbridge Construction</t>
  </si>
  <si>
    <t>Priority Support Plan x 6</t>
  </si>
  <si>
    <t>Order ORD-1035</t>
  </si>
  <si>
    <t>INV-2026-0021</t>
  </si>
  <si>
    <t>Solstice Fitness Studios</t>
  </si>
  <si>
    <t>Order ORD-1039</t>
  </si>
  <si>
    <t>INV-2026-0022</t>
  </si>
  <si>
    <t>Kestrel Engineering GmbH</t>
  </si>
  <si>
    <t>Order ORD-1040</t>
  </si>
  <si>
    <t>INV-2026-0023</t>
  </si>
  <si>
    <t>Copperline Coffee Roasters</t>
  </si>
  <si>
    <t>Excel Workshop (Team) x 2</t>
  </si>
  <si>
    <t>Order ORD-1041 - paid late</t>
  </si>
  <si>
    <t>INV-2026-0024</t>
  </si>
  <si>
    <t>Sunrise Bakery Co-op</t>
  </si>
  <si>
    <t>Order ORD-1042 - paid late</t>
  </si>
  <si>
    <t>INV-2026-0025</t>
  </si>
  <si>
    <t>Verity Legal Services</t>
  </si>
  <si>
    <t>Order ORD-1045</t>
  </si>
  <si>
    <t>INV-2026-0026</t>
  </si>
  <si>
    <t>Order ORD-1046</t>
  </si>
  <si>
    <t>INV-2026-0027</t>
  </si>
  <si>
    <t>Order ORD-1047</t>
  </si>
  <si>
    <t>INV-2026-0028</t>
  </si>
  <si>
    <t>Order ORD-1048</t>
  </si>
  <si>
    <t>INV-2026-0029</t>
  </si>
  <si>
    <t>Harbor &amp; Pine Studio</t>
  </si>
  <si>
    <t>Order ORD-1052</t>
  </si>
  <si>
    <t>INV-2026-0030</t>
  </si>
  <si>
    <t>Order ORD-1054</t>
  </si>
  <si>
    <t>INV-2026-0031</t>
  </si>
  <si>
    <t>Order ORD-1057</t>
  </si>
  <si>
    <t>INV-2026-0032</t>
  </si>
  <si>
    <t>Order ORD-1058</t>
  </si>
  <si>
    <t>INV-2026-0033</t>
  </si>
  <si>
    <t>Monthly Advisory Retainer x 1</t>
  </si>
  <si>
    <t>Order ORD-1059</t>
  </si>
  <si>
    <t>INV-2026-0034</t>
  </si>
  <si>
    <t>Order ORD-1060</t>
  </si>
  <si>
    <t>INV-2026-0035</t>
  </si>
  <si>
    <t>Order ORD-1062</t>
  </si>
  <si>
    <t>INV-2026-0036</t>
  </si>
  <si>
    <t>Excel Workshop (Team) x 3</t>
  </si>
  <si>
    <t>Order ORD-1065</t>
  </si>
  <si>
    <t>INV-2026-0037</t>
  </si>
  <si>
    <t>Setup &amp; Onboarding x 3</t>
  </si>
  <si>
    <t>Order ORD-1067</t>
  </si>
  <si>
    <t>INV-2026-0038</t>
  </si>
  <si>
    <t>Willow Creek Realty</t>
  </si>
  <si>
    <t>Order ORD-1068</t>
  </si>
  <si>
    <t>INV-2026-0039</t>
  </si>
  <si>
    <t>Order ORD-1074</t>
  </si>
  <si>
    <t>INV-2026-0040</t>
  </si>
  <si>
    <t>Order ORD-1079 - paid late</t>
  </si>
  <si>
    <t>INV-2026-0041</t>
  </si>
  <si>
    <t>Nimbus Cloud Services</t>
  </si>
  <si>
    <t>Online Course Seat x 11</t>
  </si>
  <si>
    <t>Order ORD-1080</t>
  </si>
  <si>
    <t>INV-2026-0042</t>
  </si>
  <si>
    <t>Order ORD-1081</t>
  </si>
  <si>
    <t>INV-2026-0043</t>
  </si>
  <si>
    <t>Order ORD-1085</t>
  </si>
  <si>
    <t>INV-2026-0044</t>
  </si>
  <si>
    <t>Quarry Hill Consulting</t>
  </si>
  <si>
    <t>Online Course Seat x 12</t>
  </si>
  <si>
    <t>Order ORD-1091</t>
  </si>
  <si>
    <t>INV-2026-0045</t>
  </si>
  <si>
    <t>Order ORD-1096</t>
  </si>
  <si>
    <t>INV-2026-0046</t>
  </si>
  <si>
    <t>Blue Heron Travel</t>
  </si>
  <si>
    <t>Order ORD-1097</t>
  </si>
  <si>
    <t>INV-2026-0047</t>
  </si>
  <si>
    <t>Order ORD-1100</t>
  </si>
  <si>
    <t>INV-2026-0048</t>
  </si>
  <si>
    <t>Order ORD-1101</t>
  </si>
  <si>
    <t>INV-2026-0049</t>
  </si>
  <si>
    <t>Order ORD-1104</t>
  </si>
  <si>
    <t>INV-2026-0050</t>
  </si>
  <si>
    <t>Order ORD-1105</t>
  </si>
  <si>
    <t>INV-2026-0051</t>
  </si>
  <si>
    <t>Online Course Seat x 7</t>
  </si>
  <si>
    <t>Order ORD-1106 - paid late</t>
  </si>
  <si>
    <t>INV-2026-0052</t>
  </si>
  <si>
    <t>Order ORD-1107</t>
  </si>
  <si>
    <t>INV-2026-0053</t>
  </si>
  <si>
    <t>Order ORD-1108 - paid late</t>
  </si>
  <si>
    <t>INV-2026-0054</t>
  </si>
  <si>
    <t>Order ORD-1109 - paid late</t>
  </si>
  <si>
    <t>INV-2026-0055</t>
  </si>
  <si>
    <t>Order ORD-1110</t>
  </si>
  <si>
    <t>INV-2026-0056</t>
  </si>
  <si>
    <t>Order ORD-1112 - paid late</t>
  </si>
  <si>
    <t>INV-2026-0057</t>
  </si>
  <si>
    <t>Order ORD-1113 - paid late</t>
  </si>
  <si>
    <t>INV-2026-0058</t>
  </si>
  <si>
    <t>Order ORD-1114</t>
  </si>
  <si>
    <t>INV-2026-0059</t>
  </si>
  <si>
    <t>Order ORD-1117</t>
  </si>
  <si>
    <t>INV-2026-0060</t>
  </si>
  <si>
    <t>Order ORD-1118</t>
  </si>
  <si>
    <t>INV-2026-0061</t>
  </si>
  <si>
    <t>Order ORD-1125</t>
  </si>
  <si>
    <t>INV-2026-0062</t>
  </si>
  <si>
    <t>Order ORD-1126</t>
  </si>
  <si>
    <t>INV-2026-0063</t>
  </si>
  <si>
    <t>Order ORD-1127</t>
  </si>
  <si>
    <t>INV-2026-0064</t>
  </si>
  <si>
    <t>Order ORD-1131</t>
  </si>
  <si>
    <t>INV-2026-0065</t>
  </si>
  <si>
    <t>Order ORD-1133</t>
  </si>
  <si>
    <t>INV-2026-0066</t>
  </si>
  <si>
    <t>Order ORD-1134</t>
  </si>
  <si>
    <t>INV-2026-0067</t>
  </si>
  <si>
    <t>Order ORD-1135</t>
  </si>
  <si>
    <t>INV-2026-0068</t>
  </si>
  <si>
    <t>Order ORD-1136 - paid late</t>
  </si>
  <si>
    <t>INV-2026-0069</t>
  </si>
  <si>
    <t>Order ORD-1138</t>
  </si>
  <si>
    <t>INV-2026-0070</t>
  </si>
  <si>
    <t>Order ORD-1141</t>
  </si>
  <si>
    <t>INV-2026-0071</t>
  </si>
  <si>
    <t>Summit Ridge Outfitters</t>
  </si>
  <si>
    <t>Order ORD-1142</t>
  </si>
  <si>
    <t>INV-2026-0072</t>
  </si>
  <si>
    <t>Order ORD-1145</t>
  </si>
  <si>
    <t>INV-2026-0073</t>
  </si>
  <si>
    <t>Order ORD-1151</t>
  </si>
  <si>
    <t>INV-2026-0074</t>
  </si>
  <si>
    <t>Order ORD-1152</t>
  </si>
  <si>
    <t>INV-2026-0075</t>
  </si>
  <si>
    <t>Order ORD-1153</t>
  </si>
  <si>
    <t>INV-2026-0076</t>
  </si>
  <si>
    <t>Order ORD-1156</t>
  </si>
  <si>
    <t>INV-2026-0077</t>
  </si>
  <si>
    <t>Order ORD-1157</t>
  </si>
  <si>
    <t>INV-2026-0078</t>
  </si>
  <si>
    <t>Order ORD-1158</t>
  </si>
  <si>
    <t>INV-2026-0079</t>
  </si>
  <si>
    <t>Order ORD-1162</t>
  </si>
  <si>
    <t>INV-2026-0080</t>
  </si>
  <si>
    <t>Order ORD-1167</t>
  </si>
  <si>
    <t>INV-2026-0081</t>
  </si>
  <si>
    <t>Order ORD-1168</t>
  </si>
  <si>
    <t>Track leads and customers through the pipeline. Follow-up alerts use the as-of date on START_HERE.</t>
  </si>
  <si>
    <t>TOTAL LEADS</t>
  </si>
  <si>
    <t>PIPELINE VALUE (OPEN)</t>
  </si>
  <si>
    <t>OVERDUE FOLLOW-UPS</t>
  </si>
  <si>
    <t>WON VALUE</t>
  </si>
  <si>
    <t>WIN RATE</t>
  </si>
  <si>
    <t>All rows in the table</t>
  </si>
  <si>
    <t>New + Qualified + Proposal</t>
  </si>
  <si>
    <t>Open leads past due</t>
  </si>
  <si>
    <t>Stage = Won</t>
  </si>
  <si>
    <t>Won / (Won + Lost)</t>
  </si>
  <si>
    <t>Name</t>
  </si>
  <si>
    <t>Company</t>
  </si>
  <si>
    <t>Email</t>
  </si>
  <si>
    <t>Phone</t>
  </si>
  <si>
    <t>Lead Source</t>
  </si>
  <si>
    <t>Stage</t>
  </si>
  <si>
    <t>Potential Value</t>
  </si>
  <si>
    <t>Last Contact</t>
  </si>
  <si>
    <t>Next Follow-up</t>
  </si>
  <si>
    <t>Follow-up Status</t>
  </si>
  <si>
    <t>Pipeline by Stage</t>
  </si>
  <si>
    <t>Leads</t>
  </si>
  <si>
    <t>Value</t>
  </si>
  <si>
    <t>% of Leads</t>
  </si>
  <si>
    <t>Sam Whitaker</t>
  </si>
  <si>
    <t>Ledgerstone Books</t>
  </si>
  <si>
    <t>sam.whitaker@ledgerstonebooks.example</t>
  </si>
  <si>
    <t>+1 (206) 555-0167</t>
  </si>
  <si>
    <t>Cold Outreach</t>
  </si>
  <si>
    <t>New</t>
  </si>
  <si>
    <t>No reply yet to intro email</t>
  </si>
  <si>
    <t>Amira Haddad</t>
  </si>
  <si>
    <t>Cobalt Ridge Solar</t>
  </si>
  <si>
    <t>amira.haddad@cobaltridgesolar.example</t>
  </si>
  <si>
    <t>+1 (617) 555-0181</t>
  </si>
  <si>
    <t>Referral</t>
  </si>
  <si>
    <t>Qualified</t>
  </si>
  <si>
    <t>Needs onboarding for 12 staff; waiting on budget sign-off</t>
  </si>
  <si>
    <t>Gwen Ashford</t>
  </si>
  <si>
    <t>Millbrook Vet Clinic</t>
  </si>
  <si>
    <t>gwen.ashford@millbrookvetclinic.example</t>
  </si>
  <si>
    <t>+1 (617) 555-0120</t>
  </si>
  <si>
    <t>Email Campaign</t>
  </si>
  <si>
    <t>Opened three campaign emails</t>
  </si>
  <si>
    <t>Proposal</t>
  </si>
  <si>
    <t>Tanya Brooks</t>
  </si>
  <si>
    <t>Evergreen Pediatrics</t>
  </si>
  <si>
    <t>tanya.brooks@evergreenpediatrics.example</t>
  </si>
  <si>
    <t>+1 (312) 555-0140</t>
  </si>
  <si>
    <t>Website</t>
  </si>
  <si>
    <t>Requested revised scope for training days</t>
  </si>
  <si>
    <t>Won</t>
  </si>
  <si>
    <t>Imani Cole</t>
  </si>
  <si>
    <t>Cole Creative Agency</t>
  </si>
  <si>
    <t>imani.cole@colecreativeagency.example</t>
  </si>
  <si>
    <t>+1 (312) 555-0133</t>
  </si>
  <si>
    <t>LinkedIn</t>
  </si>
  <si>
    <t>Discovery call completed</t>
  </si>
  <si>
    <t>Lost</t>
  </si>
  <si>
    <t>Bjorn Halvorsen</t>
  </si>
  <si>
    <t>Fjordline Kayaks</t>
  </si>
  <si>
    <t>bjorn.halvorsen@fjordlinekayaks.example</t>
  </si>
  <si>
    <t>+1 (415) 555-0171</t>
  </si>
  <si>
    <t>Interested in advisory retainer</t>
  </si>
  <si>
    <t>Total leads</t>
  </si>
  <si>
    <t>Victor Lindholm</t>
  </si>
  <si>
    <t>Grayson Wealth Advisors</t>
  </si>
  <si>
    <t>victor.lindholm@graysonwealthadvisors.example</t>
  </si>
  <si>
    <t>+1 (415) 555-0173</t>
  </si>
  <si>
    <t>Proposal sent; comparing two vendors</t>
  </si>
  <si>
    <t>Open pipeline</t>
  </si>
  <si>
    <t>Leo Fontaine</t>
  </si>
  <si>
    <t>Fontaine Wine Merchants</t>
  </si>
  <si>
    <t>leo.fontaine@fontainewinemerchants.example</t>
  </si>
  <si>
    <t>+1 (206) 555-0176</t>
  </si>
  <si>
    <t>Event</t>
  </si>
  <si>
    <t>Needs invoice tracking and CRM setup</t>
  </si>
  <si>
    <t>Jill Adeyemi</t>
  </si>
  <si>
    <t>Peakline Physio</t>
  </si>
  <si>
    <t>jill.adeyemi@peaklinephysio.example</t>
  </si>
  <si>
    <t>+1 (312) 555-0129</t>
  </si>
  <si>
    <t>Downloaded starter template pack</t>
  </si>
  <si>
    <t>Farid Nasser</t>
  </si>
  <si>
    <t>Crescent Imports</t>
  </si>
  <si>
    <t>farid.nasser@crescentimports.example</t>
  </si>
  <si>
    <t>+1 (312) 555-0126</t>
  </si>
  <si>
    <t>Wants dashboard demo with real data</t>
  </si>
  <si>
    <t>Leads by Source</t>
  </si>
  <si>
    <t>Rhea Kapoor</t>
  </si>
  <si>
    <t>Silverleaf Tutoring</t>
  </si>
  <si>
    <t>rhea.kapoor@silverleaftutoring.example</t>
  </si>
  <si>
    <t>+1 (617) 555-0132</t>
  </si>
  <si>
    <t>Referred by Orchard Lane Education</t>
  </si>
  <si>
    <t>Hugo Lambert</t>
  </si>
  <si>
    <t>Lambert &amp; Fils Bistro</t>
  </si>
  <si>
    <t>hugo.lambert@lambertfilsbistro.example</t>
  </si>
  <si>
    <t>+1 (312) 555-0166</t>
  </si>
  <si>
    <t>Decision expected after menu launch</t>
  </si>
  <si>
    <t>Miguel Alvarez</t>
  </si>
  <si>
    <t>Casa Verde Restaurants</t>
  </si>
  <si>
    <t>miguel.alvarez@casaverderestaurants.example</t>
  </si>
  <si>
    <t>+1 (617) 555-0178</t>
  </si>
  <si>
    <t>Met at regional small-business expo</t>
  </si>
  <si>
    <t>Kaia Sorensen</t>
  </si>
  <si>
    <t>Nordlys Interiors</t>
  </si>
  <si>
    <t>kaia.sorensen@nordlysinteriors.example</t>
  </si>
  <si>
    <t>+1 (206) 555-0100</t>
  </si>
  <si>
    <t>Contact form enquiry</t>
  </si>
  <si>
    <t>Carla Mendes</t>
  </si>
  <si>
    <t>Lagoa Boutique Hotel</t>
  </si>
  <si>
    <t>carla.mendes@lagoaboutiquehotel.example</t>
  </si>
  <si>
    <t>+1 (312) 555-0167</t>
  </si>
  <si>
    <t>Connected last week; intro call pending</t>
  </si>
  <si>
    <t>Maria Santos</t>
  </si>
  <si>
    <t>maria.santos@brightpathlogistics.example</t>
  </si>
  <si>
    <t>+1 (312) 555-0131</t>
  </si>
  <si>
    <t>Active customer - see EXAMPLE_DATA sales</t>
  </si>
  <si>
    <t>Daniel Okafor</t>
  </si>
  <si>
    <t>daniel.okafor@harborpine.example</t>
  </si>
  <si>
    <t>+1 (312) 555-0195</t>
  </si>
  <si>
    <t>Priya Raman</t>
  </si>
  <si>
    <t>priya.raman@lumenanalytics.example</t>
  </si>
  <si>
    <t>+44 20 7946 0209</t>
  </si>
  <si>
    <t>Liam Tremblay</t>
  </si>
  <si>
    <t>liam.tremblay@northgatedental.example</t>
  </si>
  <si>
    <t>+1 (617) 555-0179</t>
  </si>
  <si>
    <t>Grace Whitfield</t>
  </si>
  <si>
    <t>grace.whitfield@sunrisebakery.example</t>
  </si>
  <si>
    <t>+1 (617) 555-0165</t>
  </si>
  <si>
    <t>Jonas Keller</t>
  </si>
  <si>
    <t>jonas.keller@kestrel-eng.example</t>
  </si>
  <si>
    <t>+49 30 5555 0169</t>
  </si>
  <si>
    <t>Olivia Brandt</t>
  </si>
  <si>
    <t>olivia.brandt@willowcreekrealty.example</t>
  </si>
  <si>
    <t>+1 (206) 555-0150</t>
  </si>
  <si>
    <t>Ethan Nakamura</t>
  </si>
  <si>
    <t>ethan.nakamura@atlasfreight.example</t>
  </si>
  <si>
    <t>+61 2 5550 1144</t>
  </si>
  <si>
    <t>Sofia Marchetti</t>
  </si>
  <si>
    <t>sofia.marchetti@meridianclinic.example</t>
  </si>
  <si>
    <t>+1 (415) 555-0153</t>
  </si>
  <si>
    <t>Noah Fitzgerald</t>
  </si>
  <si>
    <t>noah.fitzgerald@copperlinecoffee.example</t>
  </si>
  <si>
    <t>+1 (415) 555-0112</t>
  </si>
  <si>
    <t>Hannah Doyle</t>
  </si>
  <si>
    <t>hannah.doyle@verity-legal.example</t>
  </si>
  <si>
    <t>+44 20 7946 0774</t>
  </si>
  <si>
    <t>Marcus Bell</t>
  </si>
  <si>
    <t>marcus.bell@pixelforgemedia.example</t>
  </si>
  <si>
    <t>+1 (617) 555-0112</t>
  </si>
  <si>
    <t>Aoife Gallagher</t>
  </si>
  <si>
    <t>aoife.gallagher@orchardlane.example</t>
  </si>
  <si>
    <t>+1 (617) 555-0143</t>
  </si>
  <si>
    <t>Tyrone Jackson</t>
  </si>
  <si>
    <t>tyrone.jackson@redwoodpm.example</t>
  </si>
  <si>
    <t>+1 (415) 555-0144</t>
  </si>
  <si>
    <t>Elena Petrova</t>
  </si>
  <si>
    <t>elena.petrova@tidewatermarine.example</t>
  </si>
  <si>
    <t>Callum Reid</t>
  </si>
  <si>
    <t>callum.reid@alderfinch.example</t>
  </si>
  <si>
    <t>+44 20 7946 0871</t>
  </si>
  <si>
    <t>Zoe Harrington</t>
  </si>
  <si>
    <t>zoe.harrington@solsticefit.example</t>
  </si>
  <si>
    <t>+61 2 5550 1187</t>
  </si>
  <si>
    <t>Ryan Kowalski</t>
  </si>
  <si>
    <t>ryan.kowalski@ironbridgebuild.example</t>
  </si>
  <si>
    <t>+1 (617) 555-0163</t>
  </si>
  <si>
    <t>Camille Laurent</t>
  </si>
  <si>
    <t>Petal &amp; Stem Florists</t>
  </si>
  <si>
    <t>camille.laurent@petalstem.example</t>
  </si>
  <si>
    <t>Isaac Moreno</t>
  </si>
  <si>
    <t>isaac.moreno@quarryhill.example</t>
  </si>
  <si>
    <t>+1 (206) 555-0154</t>
  </si>
  <si>
    <t>Freya Jansen</t>
  </si>
  <si>
    <t>freya.jansen@nimbuscloud.example</t>
  </si>
  <si>
    <t>Wesley Dunn</t>
  </si>
  <si>
    <t>wesley.dunn@summitridge.example</t>
  </si>
  <si>
    <t>+1 (415) 555-0118</t>
  </si>
  <si>
    <t>Naomi Castellano</t>
  </si>
  <si>
    <t>naomi.castellano@blueheron.example</t>
  </si>
  <si>
    <t>+1 (312) 555-0199</t>
  </si>
  <si>
    <t>Oscar Lindqvist</t>
  </si>
  <si>
    <t>Foxglove Design Co</t>
  </si>
  <si>
    <t>oscar.lindqvist@foxglovedesign.example</t>
  </si>
  <si>
    <t>+44 20 7946 0811</t>
  </si>
  <si>
    <t>Dennis Ho</t>
  </si>
  <si>
    <t>Paragon Auto Repair</t>
  </si>
  <si>
    <t>dennis.ho@paragonautorepair.example</t>
  </si>
  <si>
    <t>+1 (617) 555-0137</t>
  </si>
  <si>
    <t>Chose in-house spreadsheet solution</t>
  </si>
  <si>
    <t>Evelyn Roberts</t>
  </si>
  <si>
    <t>Thistle &amp; Oak Interiors</t>
  </si>
  <si>
    <t>evelyn.roberts@thistleoakinteriors.example</t>
  </si>
  <si>
    <t>+1 (617) 555-0194</t>
  </si>
  <si>
    <t>Budget frozen until next year</t>
  </si>
  <si>
    <t>Jamal Reed</t>
  </si>
  <si>
    <t>Reed Roofing</t>
  </si>
  <si>
    <t>jamal.reed@reedroofing.example</t>
  </si>
  <si>
    <t>+1 (312) 555-0114</t>
  </si>
  <si>
    <t>No response after three follow-ups</t>
  </si>
  <si>
    <t>KPI Dashboard</t>
  </si>
  <si>
    <t>Every value is a formula that reads the other sheets. The table below explains exactly how each KPI is calculated.</t>
  </si>
  <si>
    <t>REVENUE</t>
  </si>
  <si>
    <t>NET REVENUE</t>
  </si>
  <si>
    <t>NET MARGIN</t>
  </si>
  <si>
    <t>Total, excl. cancelled</t>
  </si>
  <si>
    <t>Paid + pending</t>
  </si>
  <si>
    <t>Revenue - expenses</t>
  </si>
  <si>
    <t>Net revenue / revenue</t>
  </si>
  <si>
    <t>ORDERS</t>
  </si>
  <si>
    <t>PIPELINE VALUE</t>
  </si>
  <si>
    <t>CONVERSION RATE</t>
  </si>
  <si>
    <t>COLLECTION RATE</t>
  </si>
  <si>
    <t>Excl. cancelled</t>
  </si>
  <si>
    <t>Revenue / orders</t>
  </si>
  <si>
    <t>Open CRM leads</t>
  </si>
  <si>
    <t>Won leads / total leads</t>
  </si>
  <si>
    <t>Paid revenue / revenue</t>
  </si>
  <si>
    <t>Unpaid and past due</t>
  </si>
  <si>
    <t>Monthly revenue vs expenses</t>
  </si>
  <si>
    <t>Net</t>
  </si>
  <si>
    <t>Net Margin</t>
  </si>
  <si>
    <t>How every KPI is calculated</t>
  </si>
  <si>
    <t>KPI</t>
  </si>
  <si>
    <t>Current value</t>
  </si>
  <si>
    <t>How it is calculated</t>
  </si>
  <si>
    <t>Data source</t>
  </si>
  <si>
    <t>Type</t>
  </si>
  <si>
    <t>Sum of Order Total for every order whose Order Status is not Cancelled.</t>
  </si>
  <si>
    <t>EXAMPLE_DATA &gt; tblSales</t>
  </si>
  <si>
    <t>Direct</t>
  </si>
  <si>
    <t>Paid Revenue</t>
  </si>
  <si>
    <t>Sum of Order Total where Payment Status is Paid (cancelled orders excluded).</t>
  </si>
  <si>
    <t>Pending Revenue</t>
  </si>
  <si>
    <t>Sum of Order Total where Payment Status is Pending (cancelled orders excluded). Revenue = Paid + Pending.</t>
  </si>
  <si>
    <t>Sum of Amount for every row in the expense table, paid and pending.</t>
  </si>
  <si>
    <t>EXPENSES &gt; tblExpenses</t>
  </si>
  <si>
    <t>Net Revenue</t>
  </si>
  <si>
    <t>Revenue minus Expenses. Both include pending amounts (accrual view). It is before tax and does not include costs you have not recorded.</t>
  </si>
  <si>
    <t>Calculated from the two KPIs above</t>
  </si>
  <si>
    <t>Derived</t>
  </si>
  <si>
    <t>Net Revenue divided by Revenue. Shows N/A / Requires Data when revenue is zero.</t>
  </si>
  <si>
    <t>Calculated</t>
  </si>
  <si>
    <t>Count of orders whose Order Status is not Cancelled.</t>
  </si>
  <si>
    <t>Average Order Value</t>
  </si>
  <si>
    <t>Revenue divided by Orders. Shows N/A when there are no orders.</t>
  </si>
  <si>
    <t>Pipeline Value</t>
  </si>
  <si>
    <t>Sum of Potential Value for CRM leads in stages New, Qualified and Proposal. Won and Lost leads are excluded.</t>
  </si>
  <si>
    <t>CRM &gt; tblCRM</t>
  </si>
  <si>
    <t>Conversion Rate</t>
  </si>
  <si>
    <t>Leads with stage Won divided by all leads in the CRM table. It covers every lead recorded, not a time period. Shows N/A / Requires Data if the CRM is empty.</t>
  </si>
  <si>
    <t>Collection Rate</t>
  </si>
  <si>
    <t>Paid Revenue divided by Revenue: the share of revenue already collected.</t>
  </si>
  <si>
    <t>Overdue Invoices</t>
  </si>
  <si>
    <t>Sum of Amount for invoices with Status Pending and a Due Date before the as-of date.</t>
  </si>
  <si>
    <t>INVOICES &gt; tblInvoices</t>
  </si>
  <si>
    <t>Direct = read straight from a table.  Derived = calculated from other KPIs.  No KPI is estimated or assumed. If a KPI cannot be calculated (for example a division by zero) it shows N/A / Requires Data instead of a number.</t>
  </si>
  <si>
    <t>Pipeline and collections</t>
  </si>
  <si>
    <t>Data health checks</t>
  </si>
  <si>
    <t>Revenue = Paid + Pending</t>
  </si>
  <si>
    <t>Every non-cancelled order must be Paid or Pending.</t>
  </si>
  <si>
    <t>Sales months tie to Revenue</t>
  </si>
  <si>
    <t>Orders outside the 12-month window are not in the monthly table.</t>
  </si>
  <si>
    <t>Expense months tie to Expenses</t>
  </si>
  <si>
    <t>Expenses outside the 12-month window are not in the monthly table.</t>
  </si>
  <si>
    <t>Overdue invoices &lt;= pending invoices</t>
  </si>
  <si>
    <t>Overdue is a subset of pending.</t>
  </si>
  <si>
    <t>Data Cleaner</t>
  </si>
  <si>
    <t>Paste raw data into the navy columns. The teal columns clean it with plain, editable formulas. Your raw data is never changed.</t>
  </si>
  <si>
    <t>RECORDS</t>
  </si>
  <si>
    <t>COMPLETE RECORDS</t>
  </si>
  <si>
    <t>DUPLICATE EMAIL ROWS</t>
  </si>
  <si>
    <t>EMAILS TO REVIEW</t>
  </si>
  <si>
    <t>Name, email, country, phone present</t>
  </si>
  <si>
    <t>Rows sharing an email</t>
  </si>
  <si>
    <t>Format looks wrong</t>
  </si>
  <si>
    <t>Country lookup (edit or extend)</t>
  </si>
  <si>
    <t>Raw Name</t>
  </si>
  <si>
    <t>Raw Email</t>
  </si>
  <si>
    <t>Raw Country</t>
  </si>
  <si>
    <t>Raw Phone</t>
  </si>
  <si>
    <t>Clean Name</t>
  </si>
  <si>
    <t>Normalized Email</t>
  </si>
  <si>
    <t>Standardized Country</t>
  </si>
  <si>
    <t>Clean Phone</t>
  </si>
  <si>
    <t>Missing Information Flag</t>
  </si>
  <si>
    <t>Duplicate Email Flag</t>
  </si>
  <si>
    <t>Email Format Check</t>
  </si>
  <si>
    <t>Variation</t>
  </si>
  <si>
    <t>Standard Name</t>
  </si>
  <si>
    <t xml:space="preserve">  maria SANTOS </t>
  </si>
  <si>
    <t xml:space="preserve"> Maria.Santos@BrightPathLogistics.example </t>
  </si>
  <si>
    <t>usa</t>
  </si>
  <si>
    <t>(415) 555-0142</t>
  </si>
  <si>
    <t>USA</t>
  </si>
  <si>
    <t>United States</t>
  </si>
  <si>
    <t>DANIEL   okafor</t>
  </si>
  <si>
    <t>U.S.A.</t>
  </si>
  <si>
    <t>415.555.0177</t>
  </si>
  <si>
    <t>priya raman</t>
  </si>
  <si>
    <t>PRIYA.RAMAN@LUMENANALYTICS.EXAMPLE</t>
  </si>
  <si>
    <t>united kingdom</t>
  </si>
  <si>
    <t>+44 (0)20 7946 0311</t>
  </si>
  <si>
    <t>US</t>
  </si>
  <si>
    <t xml:space="preserve">Liam  Tremblay </t>
  </si>
  <si>
    <t xml:space="preserve">liam.tremblay@northgatedental.example </t>
  </si>
  <si>
    <t xml:space="preserve">Canada </t>
  </si>
  <si>
    <t>1-604-555-0119</t>
  </si>
  <si>
    <t>U.S.</t>
  </si>
  <si>
    <t>grace whitfield</t>
  </si>
  <si>
    <t>206 555 0188</t>
  </si>
  <si>
    <t>JONAS KELLER</t>
  </si>
  <si>
    <t>Deutschland</t>
  </si>
  <si>
    <t>+49 30 5555 0142</t>
  </si>
  <si>
    <t>United States of America</t>
  </si>
  <si>
    <t>olivia brandt</t>
  </si>
  <si>
    <t>(312) 555-0163</t>
  </si>
  <si>
    <t>America</t>
  </si>
  <si>
    <t>ethan nakamura</t>
  </si>
  <si>
    <t>Australia</t>
  </si>
  <si>
    <t>UK</t>
  </si>
  <si>
    <t>United Kingdom</t>
  </si>
  <si>
    <t xml:space="preserve">  Sofia   Marchetti</t>
  </si>
  <si>
    <t>canada</t>
  </si>
  <si>
    <t>604-555-0124</t>
  </si>
  <si>
    <t>U.K.</t>
  </si>
  <si>
    <t>noah fitzgerald</t>
  </si>
  <si>
    <t>Noah.Fitzgerald@CopperlineCoffee.example</t>
  </si>
  <si>
    <t>617 555 0135</t>
  </si>
  <si>
    <t>hannah doyle</t>
  </si>
  <si>
    <t>Great Britain</t>
  </si>
  <si>
    <t>020 7946 0455</t>
  </si>
  <si>
    <t>(415) 555-0181</t>
  </si>
  <si>
    <t>Britain</t>
  </si>
  <si>
    <t>AOIFE gallagher</t>
  </si>
  <si>
    <t>ireland</t>
  </si>
  <si>
    <t>+353 1 555 0172</t>
  </si>
  <si>
    <t>England</t>
  </si>
  <si>
    <t>tyrone jackson</t>
  </si>
  <si>
    <t>(206) 555-0106</t>
  </si>
  <si>
    <t>GB</t>
  </si>
  <si>
    <t>elena petrova</t>
  </si>
  <si>
    <t>elena.petrova@tidewatermarine</t>
  </si>
  <si>
    <t>312-555-0199</t>
  </si>
  <si>
    <t>Canada</t>
  </si>
  <si>
    <t>Callum  Reid</t>
  </si>
  <si>
    <t>020 7946 0577</t>
  </si>
  <si>
    <t>CA</t>
  </si>
  <si>
    <t>zoe harrington</t>
  </si>
  <si>
    <t>australia</t>
  </si>
  <si>
    <t>+61 2 5550 1188</t>
  </si>
  <si>
    <t>CAN</t>
  </si>
  <si>
    <t>+1 415 555 0142</t>
  </si>
  <si>
    <t>Germany</t>
  </si>
  <si>
    <t>ryan kowalski</t>
  </si>
  <si>
    <t>RYAN.KOWALSKI@IRONBRIDGEBUILD.EXAMPLE</t>
  </si>
  <si>
    <t>CANADA</t>
  </si>
  <si>
    <t>604 555 0142</t>
  </si>
  <si>
    <t>camille laurent</t>
  </si>
  <si>
    <t>camille laurent@petalstem.example</t>
  </si>
  <si>
    <t>france</t>
  </si>
  <si>
    <t>+33 1 55 50 01 23</t>
  </si>
  <si>
    <t>DE</t>
  </si>
  <si>
    <t>isaac moreno</t>
  </si>
  <si>
    <t xml:space="preserve">  usa  </t>
  </si>
  <si>
    <t>415-555-0166</t>
  </si>
  <si>
    <t>France</t>
  </si>
  <si>
    <t>FREYA JANSEN</t>
  </si>
  <si>
    <t>holland</t>
  </si>
  <si>
    <t>+31 20 555 0134</t>
  </si>
  <si>
    <t>FR</t>
  </si>
  <si>
    <t>wesley dunn</t>
  </si>
  <si>
    <t xml:space="preserve">  </t>
  </si>
  <si>
    <t>(617) 555-0128</t>
  </si>
  <si>
    <t>naomi castellano</t>
  </si>
  <si>
    <t>naomi.castellano@summitridge.example</t>
  </si>
  <si>
    <t>312.555.0104</t>
  </si>
  <si>
    <t>AU</t>
  </si>
  <si>
    <t>oscar lindqvist</t>
  </si>
  <si>
    <t>oscar.lindqvist@blueheron.example</t>
  </si>
  <si>
    <t>(206) 555-0157</t>
  </si>
  <si>
    <t>AUS</t>
  </si>
  <si>
    <t xml:space="preserve">Priya Raman </t>
  </si>
  <si>
    <t>+44 20 7946 0311</t>
  </si>
  <si>
    <t>Ireland</t>
  </si>
  <si>
    <t>mcallister, jo</t>
  </si>
  <si>
    <t>jo.mcallister@foxglovedesign.example</t>
  </si>
  <si>
    <t>u.k.</t>
  </si>
  <si>
    <t>+44 20 7946 0699</t>
  </si>
  <si>
    <t>Republic of Ireland</t>
  </si>
  <si>
    <t>IE</t>
  </si>
  <si>
    <t>Netherlands</t>
  </si>
  <si>
    <t>Holland</t>
  </si>
  <si>
    <t>The Netherlands</t>
  </si>
  <si>
    <t>NL</t>
  </si>
  <si>
    <t>Spain</t>
  </si>
  <si>
    <t>Espana</t>
  </si>
  <si>
    <t>España</t>
  </si>
  <si>
    <t>ES</t>
  </si>
  <si>
    <t>Italy</t>
  </si>
  <si>
    <t>Italia</t>
  </si>
  <si>
    <t>IT</t>
  </si>
  <si>
    <t>India</t>
  </si>
  <si>
    <t>IN</t>
  </si>
  <si>
    <t>Brazil</t>
  </si>
  <si>
    <t>Brasil</t>
  </si>
  <si>
    <t>BR</t>
  </si>
  <si>
    <t>Mexico</t>
  </si>
  <si>
    <t>México</t>
  </si>
  <si>
    <t>MX</t>
  </si>
  <si>
    <t>Singapore</t>
  </si>
  <si>
    <t>SG</t>
  </si>
  <si>
    <t>United Arab Emirates</t>
  </si>
  <si>
    <t>UAE</t>
  </si>
  <si>
    <t>New Zealand</t>
  </si>
  <si>
    <t>NZ</t>
  </si>
  <si>
    <t>AI Prompt Library</t>
  </si>
  <si>
    <t>46 ready-to-use prompts in 18 categories. Copy a prompt, replace anything in [SQUARE BRACKETS], and paste it into your AI assistant.</t>
  </si>
  <si>
    <t>Privacy tip: paste only the data the assistant needs and remove names, emails, phone numbers and other sensitive details first. Always verify formulas and figures from an AI assistant against your own data. Use the filter arrows on the header row to show one category.</t>
  </si>
  <si>
    <t>ID</t>
  </si>
  <si>
    <t>Prompt Title</t>
  </si>
  <si>
    <t>Use It When</t>
  </si>
  <si>
    <t>Prompt (copy and paste)</t>
  </si>
  <si>
    <t>P01</t>
  </si>
  <si>
    <t>Excel Formulas</t>
  </si>
  <si>
    <t>Write a formula from a plain-English rule</t>
  </si>
  <si>
    <t>You know what you want but not the syntax.</t>
  </si>
  <si>
    <t>Act as an Excel expert. I use Microsoft Excel (version: [YOUR EXCEL VERSION]). Write a formula for this rule: [DESCRIBE THE RULE IN PLAIN ENGLISH]. My data is in columns [COLUMN LETTERS AND HEADERS]. The result should go in cell [CELL]. Give me (1) the formula, (2) a one-sentence explanation of each part, and (3) two test cases with the expected result. Avoid functions that require Microsoft 365 unless you tell me first.</t>
  </si>
  <si>
    <t>P02</t>
  </si>
  <si>
    <t>Explain an existing formula</t>
  </si>
  <si>
    <t>You inherited a formula and do not trust it yet.</t>
  </si>
  <si>
    <t>Explain this Excel formula step by step in plain English, as if to a beginner: [PASTE FORMULA HERE]. List what each function does, what each cell reference points to, what could make it return an error, and one situation where it would give a wrong answer without showing an error.</t>
  </si>
  <si>
    <t>P03</t>
  </si>
  <si>
    <t>Replace a long formula with a simpler one</t>
  </si>
  <si>
    <t>A nested IF or lookup has become hard to maintain.</t>
  </si>
  <si>
    <t>Here is a formula that works but is hard to read: [PASTE FORMULA HERE]. Rewrite it so it is easier to understand and edit, keeping exactly the same results. Show the new formula, explain what changed, and give three test inputs comparing old and new results. Do not use dynamic-array functions unless I ask.</t>
  </si>
  <si>
    <t>P04</t>
  </si>
  <si>
    <t>Data Cleaning</t>
  </si>
  <si>
    <t>Clean a messy column with formulas</t>
  </si>
  <si>
    <t>Text has extra spaces, mixed case or stray characters.</t>
  </si>
  <si>
    <t>I have a column of text that needs cleaning in Excel. Sample values: [PASTE 10-20 SAMPLE VALUES HERE]. Problems I can see: [EXTRA SPACES / MIXED CASE / SPECIAL CHARACTERS / OTHER]. Write a formula for a new helper column that produces the cleaned value, keep the original column untouched, and list any values in my sample the formula will NOT fix correctly.</t>
  </si>
  <si>
    <t>P05</t>
  </si>
  <si>
    <t>Standardize category or country names</t>
  </si>
  <si>
    <t>The same thing is spelled several different ways.</t>
  </si>
  <si>
    <t>Below is a list of values that should be grouped into standard names. Return a two-column mapping table (Variation, Standard Name) that I can paste into Excel and use with INDEX/MATCH. Flag any value you are unsure about instead of guessing. Values: [PASTE DATA HERE]. Preferred standard names or list: [OPTIONAL].</t>
  </si>
  <si>
    <t>P06</t>
  </si>
  <si>
    <t>Split and combine text columns</t>
  </si>
  <si>
    <t>Names, addresses or IDs are in the wrong shape.</t>
  </si>
  <si>
    <t>In Excel, I need to [SPLIT ONE COLUMN INTO SEVERAL / COMBINE SEVERAL COLUMNS INTO ONE]. Example of the current data: [PASTE 5-10 EXAMPLE ROWS HERE]. Example of the result I want: [PASTE DESIRED RESULT]. Give me formulas that work in Excel 2016 or later, plus a note about edge cases such as missing middle names, extra spaces or double-barrelled surnames.</t>
  </si>
  <si>
    <t>P07</t>
  </si>
  <si>
    <t>CSV Cleanup</t>
  </si>
  <si>
    <t>Diagnose a broken CSV import</t>
  </si>
  <si>
    <t>A CSV opens with everything in one column or wrong characters.</t>
  </si>
  <si>
    <t>I opened a CSV file in Excel and it looks wrong. Symptoms: [DESCRIBE, E.G. ALL DATA IN COLUMN A / ACCENTED LETTERS BROKEN / LEADING ZEROS LOST / DATES SWAPPED]. My Excel language/region is [REGION]. Here are the first five lines of the file as plain text: [PASTE DATA HERE]. Tell me the most likely causes and give step-by-step instructions to import it correctly using Data &gt; From Text/CSV, including which delimiter, encoding and column data types to choose.</t>
  </si>
  <si>
    <t>P08</t>
  </si>
  <si>
    <t>Prepare a CSV for import into another system</t>
  </si>
  <si>
    <t>A tool rejects your file and you need to fix the format.</t>
  </si>
  <si>
    <t>I need to prepare a CSV for import into [TARGET SYSTEM]. The system requires these columns and formats: [PASTE REQUIREMENTS]. My current columns are: [LIST YOUR COLUMN HEADERS] with sample rows: [PASTE DATA HERE]. Give me a column-by-column checklist of what to change, Excel formulas to reformat each column, and how to save the final file (delimiter, encoding, date format).</t>
  </si>
  <si>
    <t>P09</t>
  </si>
  <si>
    <t>Data Analysis</t>
  </si>
  <si>
    <t>First-pass analysis of a dataset</t>
  </si>
  <si>
    <t>You have a table and no idea where to start.</t>
  </si>
  <si>
    <t>You are a careful data analyst. Here is a table exported from Excel: [PASTE DATA HERE]. First, describe the columns and any data problems. Then give me the five most useful questions this data can answer for a [TYPE OF BUSINESS], and for each one tell me which Excel feature or formula to use (PivotTable, SUMIFS, chart, etc.) and how to interpret the result. Do not invent numbers that are not in the data.</t>
  </si>
  <si>
    <t>P10</t>
  </si>
  <si>
    <t>Build a PivotTable plan</t>
  </si>
  <si>
    <t>You want a summary but are unsure how to set up the PivotTable.</t>
  </si>
  <si>
    <t>I want to summarize my data with a PivotTable to answer: [YOUR QUESTION]. My columns are: [LIST COLUMN HEADERS AND WHAT EACH CONTAINS]. Tell me exactly which fields to drag into Rows, Columns, Values and Filters, which value setting to use (Sum, Count, Average, % of total), how to group dates by month, and what a correct result should roughly look like so I can sanity-check it.</t>
  </si>
  <si>
    <t>P11</t>
  </si>
  <si>
    <t>Find outliers and unusual values</t>
  </si>
  <si>
    <t>Something looks off and you want to check systematically.</t>
  </si>
  <si>
    <t>Look at this data and identify outliers or unusual values in the column [COLUMN NAME]: [PASTE DATA HERE]. Explain the method you used in plain English, list the suspicious rows with the reason each is suspicious, and suggest a formula I can add in Excel to flag similar values automatically in future. Separate genuine unusual-but-valid values from likely data-entry errors.</t>
  </si>
  <si>
    <t>P12</t>
  </si>
  <si>
    <t>Reporting</t>
  </si>
  <si>
    <t>Draft a monthly management report</t>
  </si>
  <si>
    <t>You need a clear report for an owner, manager or client.</t>
  </si>
  <si>
    <t>Write a one-page monthly management report for [MONTH/PERIOD] using only the figures below. Structure: headline summary (3 sentences), key figures, what improved, what worsened, risks, and three recommended actions. Keep the tone [PLAIN / FORMAL / FRIENDLY]. Figures: [PASTE KPI VALUES AND PRIOR-PERIOD COMPARISONS HERE]. If a figure is missing for a section, say so instead of estimating.</t>
  </si>
  <si>
    <t>P13</t>
  </si>
  <si>
    <t>Turn a table into talking points</t>
  </si>
  <si>
    <t>You must present numbers to people who do not like tables.</t>
  </si>
  <si>
    <t>I must present this table in a [MINUTE] minute meeting to [AUDIENCE, E.G. NON-FINANCIAL MANAGERS]. Table: [PASTE DATA HERE]. Give me: the one-sentence main message, five short talking points with the supporting number for each, one likely question from the audience with a suggested answer, and one chart type that would show the main message best.</t>
  </si>
  <si>
    <t>P14</t>
  </si>
  <si>
    <t>Dashboard Creation</t>
  </si>
  <si>
    <t>Design a dashboard layout</t>
  </si>
  <si>
    <t>You want to plan a dashboard before building it.</t>
  </si>
  <si>
    <t>I want to build an Excel dashboard for a [TYPE OF BUSINESS/ROLE]. Available data: [LIST TABLES AND COLUMNS]. Audience: [WHO WILL READ IT]. Propose a layout: which KPI cards go at the top, which three to five charts to include and what chart type suits each, which filters or slicers are useful, and what to leave out. For each KPI give the exact definition and the Excel formula approach (SUMIFS, COUNTIFS, etc.).</t>
  </si>
  <si>
    <t>P15</t>
  </si>
  <si>
    <t>Choose the right chart</t>
  </si>
  <si>
    <t>You are unsure which chart type tells the story.</t>
  </si>
  <si>
    <t>I want to show [WHAT YOU WANT TO SHOW, E.G. REVENUE TREND / SHARE OF SALES / COMPARISON] to [AUDIENCE]. My data has these columns: [LIST COLUMNS]. Recommend the best chart type and one alternative, explain in two sentences why, list what to avoid (for example, pie charts with too many slices), and give step-by-step Excel instructions to create and format it cleanly.</t>
  </si>
  <si>
    <t>P16</t>
  </si>
  <si>
    <t>Improve a cluttered dashboard</t>
  </si>
  <si>
    <t>Your dashboard has too much on it or is hard to read.</t>
  </si>
  <si>
    <t>Review my Excel dashboard design and suggest improvements. Description of what is on it now: [DESCRIBE OR PASTE LIST OF KPIs, CHARTS, COLORS, LAYOUT]. Give a prioritized list of changes covering hierarchy, number formatting, chart choice, colors, labels and white space. Point out any KPI that could be misread and explain how to label it more clearly.</t>
  </si>
  <si>
    <t>P17</t>
  </si>
  <si>
    <t>KPI Analysis</t>
  </si>
  <si>
    <t>Explain what a KPI change means</t>
  </si>
  <si>
    <t>A KPI moved and you need to know why.</t>
  </si>
  <si>
    <t>My KPI [KPI NAME] changed from [OLD VALUE] to [NEW VALUE] between [PERIOD 1] and [PERIOD 2]. Related data: [PASTE DATA HERE]. List the possible drivers ranked by likelihood, tell me which extra data I should check in my workbook to confirm each driver, and give me the Excel formulas to break the change down. Do not claim a cause that the data cannot support.</t>
  </si>
  <si>
    <t>P18</t>
  </si>
  <si>
    <t>Define KPIs for my business</t>
  </si>
  <si>
    <t>You need a short list of numbers worth tracking.</t>
  </si>
  <si>
    <t>I run a [DESCRIBE BUSINESS] with about [SIZE]. Suggest 8 to 10 KPIs I can track in Excel. For each KPI give: name, plain-English definition, exact formula using generic column names, the data I need to collect, how often to review it, and a warning about a common way it gets miscalculated. Skip any KPI that needs data I do not have: [LIST WHAT DATA YOU HAVE].</t>
  </si>
  <si>
    <t>P19</t>
  </si>
  <si>
    <t>Audit my KPI formulas</t>
  </si>
  <si>
    <t>You want a second opinion on how KPIs are calculated.</t>
  </si>
  <si>
    <t>Audit these KPI definitions and formulas for logical errors: [PASTE KPI NAMES AND FORMULAS HERE]. Check for double counting, mixing periods, dividing by zero, including cancelled or unpaid items by mistake, and mismatched date ranges. For each problem give the fix and a small numeric example that shows the mistake.</t>
  </si>
  <si>
    <t>P20</t>
  </si>
  <si>
    <t>Sales Analysis</t>
  </si>
  <si>
    <t>Analyze sales performance</t>
  </si>
  <si>
    <t>You want to know what is selling and what is not.</t>
  </si>
  <si>
    <t>Analyze this sales data: [PASTE DATA HERE]. Columns: [ORDER DATE, PRODUCT, CATEGORY, QUANTITY, UNIT PRICE, PAYMENT STATUS, ORDER STATUS]. Report: revenue trend by month, best and worst products by revenue, category mix, the gap between paid and pending revenue, and orders that were cancelled. Treat cancelled orders as excluded from revenue. End with three specific actions and the Excel formulas I can use to keep tracking each finding.</t>
  </si>
  <si>
    <t>P21</t>
  </si>
  <si>
    <t>Spot pricing and discount problems</t>
  </si>
  <si>
    <t>Margins seem lower than expected.</t>
  </si>
  <si>
    <t>Review my sales lines for pricing issues: [PASTE DATA HERE]. Look for the same product sold at different unit prices, unusually low prices, and quantity patterns that suggest discounting. Show a table of price variation by product, explain what may be causing it, and give me an Excel formula or PivotTable setup to monitor price variation each month.</t>
  </si>
  <si>
    <t>P22</t>
  </si>
  <si>
    <t>Identify top customers and concentration risk</t>
  </si>
  <si>
    <t>You are worried about relying on too few customers.</t>
  </si>
  <si>
    <t>From this order data: [PASTE DATA HERE], rank customers by revenue, calculate each customer's share of total revenue and the cumulative share, and tell me whether the business depends too heavily on a few customers. Explain the result in plain English and give the Excel formulas (SUMIFS, RANK, running total) needed to reproduce it in my workbook.</t>
  </si>
  <si>
    <t>P23</t>
  </si>
  <si>
    <t>Expense Analysis</t>
  </si>
  <si>
    <t>Find where the money is going</t>
  </si>
  <si>
    <t>You want a fast overview of spending.</t>
  </si>
  <si>
    <t>Analyze these business expenses: [PASTE DATA HERE]. Summarize spending by category and by month, highlight the three largest categories, list any month with an unusual spike and possible reasons, separate recurring from one-off costs, and identify pending (unpaid) expenses. Then suggest five practical ways to reduce or better control costs, clearly separating what the data shows from your assumptions.</t>
  </si>
  <si>
    <t>P24</t>
  </si>
  <si>
    <t>Create an expense category scheme</t>
  </si>
  <si>
    <t>Your categories are inconsistent or too numerous.</t>
  </si>
  <si>
    <t>Here are the vendors and descriptions from my expense list: [PASTE DATA HERE]. Propose a clean set of 8 to 12 expense categories suitable for a [TYPE OF BUSINESS], assign each vendor to one category in a table, mark any that could reasonably belong to two categories, and give me an Excel formula approach for auto-assigning categories from vendor names.</t>
  </si>
  <si>
    <t>P25</t>
  </si>
  <si>
    <t>Invoice Management</t>
  </si>
  <si>
    <t>Prioritize overdue invoices</t>
  </si>
  <si>
    <t>You need to decide who to chase first.</t>
  </si>
  <si>
    <t>Here are my unpaid invoices with due dates and amounts. Today's date is [TODAY'S DATE]. Data: [PASTE DATA HERE]. Calculate days overdue, group invoices into 1-30, 31-60, 61-90 and 90+ days, rank customers to contact first by a combination of amount and age, and explain your ranking logic. Give the Excel formulas for days overdue and aging buckets so I can reuse them.</t>
  </si>
  <si>
    <t>P26</t>
  </si>
  <si>
    <t>Write payment reminder emails</t>
  </si>
  <si>
    <t>You need polite but firm follow-ups.</t>
  </si>
  <si>
    <t>Write three payment reminder emails for an invoice: (1) a friendly reminder a few days before the due date, (2) a polite reminder 7 days after the due date, and (3) a firm final notice 30 days after the due date. Business name: [YOUR BUSINESS]. Customer: [CUSTOMER NAME]. Invoice number: [INVOICE NUMBER]. Amount: [AMOUNT]. Due date: [DUE DATE]. Payment methods: [HOW THEY CAN PAY]. Keep each under 120 words and avoid threatening language.</t>
  </si>
  <si>
    <t>P27</t>
  </si>
  <si>
    <t>Check invoice records for errors</t>
  </si>
  <si>
    <t>You want to catch mistakes before month-end.</t>
  </si>
  <si>
    <t>Check this invoice list for problems: [PASTE DATA HERE]. Look for duplicate invoice numbers, due dates earlier than invoice dates, paid invoices with no payment date, unpaid invoices with a payment date, missing amounts, and invoices that are overdue. Return a table of issues (row, problem, suggested fix) and an Excel formula for each check that I can add as a helper column.</t>
  </si>
  <si>
    <t>P28</t>
  </si>
  <si>
    <t>Plan follow-ups for open leads</t>
  </si>
  <si>
    <t>You want a clear next-step for every lead.</t>
  </si>
  <si>
    <t>You are a sales coach for a small business. Here are my open leads: [PASTE DATA HERE]. Columns: name, company, stage, potential value, last contact, next follow-up, notes. For each lead, suggest the best next action, the ideal timing, and a one-sentence message opener. Put leads with overdue follow-ups first. Do not invent facts about the leads beyond the notes.</t>
  </si>
  <si>
    <t>P29</t>
  </si>
  <si>
    <t>Write follow-up messages</t>
  </si>
  <si>
    <t>You need a good message quickly.</t>
  </si>
  <si>
    <t>Write a short follow-up email for a lead in the [STAGE] stage. Contact: [NAME], company: [COMPANY]. What we discussed: [NOTES]. What I want them to do next: [GOAL, E.G. BOOK A CALL / REPLY TO PROPOSAL]. Write two versions: a friendly one and a brief professional one, each with a clear subject line and under 110 words.</t>
  </si>
  <si>
    <t>P30</t>
  </si>
  <si>
    <t>Audit my sales pipeline</t>
  </si>
  <si>
    <t>You suspect the pipeline is unhealthy.</t>
  </si>
  <si>
    <t>Audit this pipeline: [PASTE DATA HERE]. Show total value and count by stage, identify leads with no follow-up date or stale contact dates (older than [NUMBER] days), estimate how concentrated the pipeline is in the largest deals, and describe what a healthy stage distribution looks like for a [TYPE OF BUSINESS]. Provide Excel formulas for stale-lead detection.</t>
  </si>
  <si>
    <t>P31</t>
  </si>
  <si>
    <t>Customer Segmentation</t>
  </si>
  <si>
    <t>Segment customers by value</t>
  </si>
  <si>
    <t>You want to treat big and small customers differently.</t>
  </si>
  <si>
    <t>Segment my customers using this data: [PASTE DATA HERE]. Use total revenue, number of orders and recent activity to create 3 to 5 segments with clear rules. Describe each segment, how many customers fall into it, its share of revenue, and one recommended action per segment. Provide the Excel formulas (SUMIFS, COUNTIFS, IF) to assign a segment automatically to each customer.</t>
  </si>
  <si>
    <t>P32</t>
  </si>
  <si>
    <t>Find customers who may be leaving</t>
  </si>
  <si>
    <t>You want early warning of churn.</t>
  </si>
  <si>
    <t>From this order history: [PASTE DATA HERE], identify customers who used to buy regularly but have not ordered recently. Explain how you define 'regularly' and 'recently', list at-risk customers with the evidence, and suggest a re-engagement message for each type. Give the Excel formula I can use to calculate days since last order for every customer.</t>
  </si>
  <si>
    <t>P33</t>
  </si>
  <si>
    <t>Business Insights</t>
  </si>
  <si>
    <t>Ask for insights without inventing numbers</t>
  </si>
  <si>
    <t>You want ideas grounded in your own data.</t>
  </si>
  <si>
    <t>Act as a business analyst reviewing my small business data. Data: [PASTE DATA HERE]. Give me the five most important insights, and for each: what the data shows (quote the numbers), why it matters, what I should do, and how confident you are. If the data is too limited to conclude something, say so clearly. Do not use industry statistics unless I supply them.</t>
  </si>
  <si>
    <t>P34</t>
  </si>
  <si>
    <t>Compare two periods</t>
  </si>
  <si>
    <t>You need to explain what changed between quarters or years.</t>
  </si>
  <si>
    <t>Compare these two periods: Period A = [PERIOD A DATA], Period B = [PERIOD B DATA]. Calculate absolute and percentage change for every metric, tell me which changes are large enough to matter, explain possible reasons (marked as hypotheses), and suggest what extra data I should collect to confirm them. Present the result as a table followed by a short summary.</t>
  </si>
  <si>
    <t>P35</t>
  </si>
  <si>
    <t>Data Quality</t>
  </si>
  <si>
    <t>Data quality checklist for my table</t>
  </si>
  <si>
    <t>You want to trust your data before building reports.</t>
  </si>
  <si>
    <t>Create a data quality checklist for my Excel table. Columns and meaning: [LIST COLUMNS]. Sample rows: [PASTE DATA HERE]. For each column give validation rules (allowed values, formats, ranges), the Excel formula that flags a violation, and how to fix it. Add checks for duplicates, blanks, dates in the future, negative amounts and text stored as numbers.</t>
  </si>
  <si>
    <t>P36</t>
  </si>
  <si>
    <t>Detect near-duplicate records</t>
  </si>
  <si>
    <t>Duplicates are hiding behind spelling and spacing differences.</t>
  </si>
  <si>
    <t>Find likely duplicate records in this list: [PASTE DATA HERE]. Consider differences in capitalization, spacing, punctuation and typos in names, emails and phone numbers. Group suspected duplicates, explain why you think they match, rate confidence as high, medium or low, and suggest which record to keep. Never merge records automatically; I will decide.</t>
  </si>
  <si>
    <t>P37</t>
  </si>
  <si>
    <t>Troubleshooting</t>
  </si>
  <si>
    <t>Fix an Excel error</t>
  </si>
  <si>
    <t>A formula returns an error message instead of a result.</t>
  </si>
  <si>
    <t>My Excel formula returns [ERROR VALUE]. Formula: [PASTE FORMULA HERE]. What the cells contain: [DESCRIBE OR PASTE A FEW ROWS]. Excel version: [VERSION]. Explain the likely cause in plain English, show the corrected formula, and give me a quick way to check each cell used in the formula (for example with ISNUMBER, LEN or Evaluate Formula).</t>
  </si>
  <si>
    <t>P38</t>
  </si>
  <si>
    <t>Numbers or dates will not calculate</t>
  </si>
  <si>
    <t>Values look right but sums or filters ignore them.</t>
  </si>
  <si>
    <t>In Excel, some [NUMBERS / DATES] are not being recognized: sums are wrong or filters do not group them properly. Sample values: [PASTE SAMPLE VALUES HERE]. Tell me how to check whether they are stored as text, the fastest ways to convert them (with and without formulas), and how to prevent the problem when I paste data from [SOURCE, E.G. A WEBSITE / CSV / ACCOUNTING SOFTWARE].</t>
  </si>
  <si>
    <t>P39</t>
  </si>
  <si>
    <t>Dashboard does not update</t>
  </si>
  <si>
    <t>Charts or KPIs show old numbers.</t>
  </si>
  <si>
    <t>My Excel dashboard is not updating after I changed the data. Setup: KPIs use [FORMULA TYPES], data lives in [TABLE OR RANGE], charts read from [RANGE]. What I changed: [DESCRIBE]. Give me a diagnostic checklist in order of likelihood: calculation mode set to manual, ranges that did not expand, filters hiding rows, text-formatted numbers, and dates outside the reporting window. For each, tell me how to check it in under a minute.</t>
  </si>
  <si>
    <t>P40</t>
  </si>
  <si>
    <t>Forecasting</t>
  </si>
  <si>
    <t>Simple revenue forecast in Excel</t>
  </si>
  <si>
    <t>You want a sensible next-quarter estimate without complex models.</t>
  </si>
  <si>
    <t>Using this monthly revenue history: [PASTE MONTH AND REVENUE HERE], help me build a simple forecast in Excel for the next [NUMBER] months. Compare a moving average, a growth-rate approach and the FORECAST.LINEAR function. Show the formulas, explain the assumptions and limits of each, and give a conservative, expected and optimistic range. State clearly that this is an estimate.</t>
  </si>
  <si>
    <t>P41</t>
  </si>
  <si>
    <t>Cash-flow outlook from invoices and expenses</t>
  </si>
  <si>
    <t>You want to see whether cash could run short.</t>
  </si>
  <si>
    <t>Build a 3-month cash-flow outlook. Expected incoming payments (unpaid invoices with due dates): [PASTE DATA HERE]. Expected outgoing payments (recurring and pending expenses): [PASTE DATA HERE]. Opening cash balance: [AMOUNT]. Show a month-by-month table, highlight any month where cash goes negative, and list the assumptions I should double-check, such as customers paying late.</t>
  </si>
  <si>
    <t>P42</t>
  </si>
  <si>
    <t>Automation Ideas</t>
  </si>
  <si>
    <t>Find repetitive tasks to automate without macros</t>
  </si>
  <si>
    <t>You do the same spreadsheet chores every week.</t>
  </si>
  <si>
    <t>I spend time every week on these spreadsheet tasks: [LIST TASKS AND HOW LONG EACH TAKES]. Suggest ways to automate or reduce each using only built-in Excel features (Tables, formulas, data validation, conditional formatting, Power Query, PivotTables) and no VBA. Rank the ideas by time saved versus setup effort, and give step-by-step instructions for the top two.</t>
  </si>
  <si>
    <t>P43</t>
  </si>
  <si>
    <t>Design a reusable monthly close checklist</t>
  </si>
  <si>
    <t>You want a repeatable end-of-month routine.</t>
  </si>
  <si>
    <t>Create a monthly close checklist for a small business that uses Excel to track sales, expenses, invoices and customers. Include steps for importing data, cleaning it, checking totals, reviewing overdue invoices, refreshing dashboards, saving a backup and archiving the month. Give an estimated time for each step and a formula or check that confirms it was done correctly.</t>
  </si>
  <si>
    <t>P44</t>
  </si>
  <si>
    <t>Business Summaries</t>
  </si>
  <si>
    <t>Executive summary for the owner</t>
  </si>
  <si>
    <t>You need a short summary of business health.</t>
  </si>
  <si>
    <t>Write an executive summary of business performance for the owner using these figures: [PASTE KPI VALUES HERE]. Use plain language, no jargon, maximum 200 words. Cover revenue, cash collected versus outstanding, expenses, profit, pipeline, and the single biggest risk and opportunity. If a figure is missing or unclear, list it under 'Needs checking' instead of guessing.</t>
  </si>
  <si>
    <t>P45</t>
  </si>
  <si>
    <t>Summary for a bank, investor or accountant</t>
  </si>
  <si>
    <t>You need a professional overview for an outside reader.</t>
  </si>
  <si>
    <t>Prepare a concise business summary for [BANK / INVESTOR / ACCOUNTANT] based on this information: [PASTE DATA HERE]. Include revenue trend, cost structure, collections and outstanding invoices, customer concentration and pipeline. Use a neutral factual tone, present numbers in a small table, and add a short 'Data limitations' section listing anything the reader should not over-interpret.</t>
  </si>
  <si>
    <t>P46</t>
  </si>
  <si>
    <t>Weekly one-paragraph update</t>
  </si>
  <si>
    <t>You send a short weekly update to a team or partner.</t>
  </si>
  <si>
    <t>Write a one-paragraph weekly update (under 90 words) from these numbers: new orders [NUMBER], revenue this week [AMOUNT], payments received [AMOUNT], overdue invoices [AMOUNT], new leads [NUMBER], follow-ups due next week [NUMBER]. Tone: [CONFIDENT / NEUTRAL / CAUTIOUS]. End with the one thing that needs attention next week.</t>
  </si>
  <si>
    <t>Example Data</t>
  </si>
  <si>
    <t>Fictional sample data that drives the dashboards. Replace it with your own records (see START_HERE).</t>
  </si>
  <si>
    <t>Data map:  Sales orders, the product catalog and customers live on this sheet (tblSales, tblProducts, tblCustomers) and feed SALES_DASHBOARD and KPI_DASHBOARD.  Expenses, invoices and leads live on their own sheets (tblExpenses on EXPENSES, tblInvoices on INVOICES, tblCRM on CRM).  Invoices are issued for service, training and support orders (each invoice notes its order ID) and digital products are prepaid online, so the sample sales and invoice records agree with each other.  All names, companies and contact details are fictional.  Navy headers = type or paste your data.  Teal headers = formula columns (do not overwrite).</t>
  </si>
  <si>
    <t>Sales orders  (table: tblSales)</t>
  </si>
  <si>
    <t>Product catalog  (tblProducts)</t>
  </si>
  <si>
    <t>Customers  (tblCustomers)</t>
  </si>
  <si>
    <t>Order ID</t>
  </si>
  <si>
    <t>Order Date</t>
  </si>
  <si>
    <t>Quantity</t>
  </si>
  <si>
    <t>Unit Price</t>
  </si>
  <si>
    <t>Order Total</t>
  </si>
  <si>
    <t>List Price</t>
  </si>
  <si>
    <t>Customer ID</t>
  </si>
  <si>
    <t>Customer Name</t>
  </si>
  <si>
    <t>Country</t>
  </si>
  <si>
    <t>Segment</t>
  </si>
  <si>
    <t>Customer Since</t>
  </si>
  <si>
    <t>ORD-1001</t>
  </si>
  <si>
    <t>Priority Support Plan</t>
  </si>
  <si>
    <t>Starter Template Pack</t>
  </si>
  <si>
    <t>C-001</t>
  </si>
  <si>
    <t>SMB</t>
  </si>
  <si>
    <t>ORD-1002</t>
  </si>
  <si>
    <t>Monthly Advisory Retainer</t>
  </si>
  <si>
    <t>Pro Dashboard Suite</t>
  </si>
  <si>
    <t>C-002</t>
  </si>
  <si>
    <t>Freelancer</t>
  </si>
  <si>
    <t>ORD-1003</t>
  </si>
  <si>
    <t>Setup &amp; Onboarding</t>
  </si>
  <si>
    <t>Strategy Session (1 hr)</t>
  </si>
  <si>
    <t>C-003</t>
  </si>
  <si>
    <t>ORD-1004</t>
  </si>
  <si>
    <t>C-004</t>
  </si>
  <si>
    <t>ORD-1005</t>
  </si>
  <si>
    <t>Excel Workshop (Team)</t>
  </si>
  <si>
    <t>C-005</t>
  </si>
  <si>
    <t>Micro</t>
  </si>
  <si>
    <t>ORD-1006</t>
  </si>
  <si>
    <t>Online Course Seat</t>
  </si>
  <si>
    <t>C-006</t>
  </si>
  <si>
    <t>Mid-Market</t>
  </si>
  <si>
    <t>ORD-1007</t>
  </si>
  <si>
    <t>C-007</t>
  </si>
  <si>
    <t>ORD-1008</t>
  </si>
  <si>
    <t>C-008</t>
  </si>
  <si>
    <t>ORD-1009</t>
  </si>
  <si>
    <t>C-009</t>
  </si>
  <si>
    <t>ORD-1010</t>
  </si>
  <si>
    <t>C-010</t>
  </si>
  <si>
    <t>ORD-1011</t>
  </si>
  <si>
    <t>C-011</t>
  </si>
  <si>
    <t>ORD-1012</t>
  </si>
  <si>
    <t>C-012</t>
  </si>
  <si>
    <t>ORD-1013</t>
  </si>
  <si>
    <t>C-013</t>
  </si>
  <si>
    <t>ORD-1014</t>
  </si>
  <si>
    <t>C-014</t>
  </si>
  <si>
    <t>ORD-1015</t>
  </si>
  <si>
    <t>Void</t>
  </si>
  <si>
    <t>C-015</t>
  </si>
  <si>
    <t>ORD-1016</t>
  </si>
  <si>
    <t>C-016</t>
  </si>
  <si>
    <t>ORD-1017</t>
  </si>
  <si>
    <t>C-017</t>
  </si>
  <si>
    <t>ORD-1018</t>
  </si>
  <si>
    <t>C-018</t>
  </si>
  <si>
    <t>ORD-1019</t>
  </si>
  <si>
    <t>C-019</t>
  </si>
  <si>
    <t>ORD-1020</t>
  </si>
  <si>
    <t>C-020</t>
  </si>
  <si>
    <t>ORD-1021</t>
  </si>
  <si>
    <t>C-021</t>
  </si>
  <si>
    <t>ORD-1022</t>
  </si>
  <si>
    <t>C-022</t>
  </si>
  <si>
    <t>ORD-1023</t>
  </si>
  <si>
    <t>C-023</t>
  </si>
  <si>
    <t>ORD-1024</t>
  </si>
  <si>
    <t>C-024</t>
  </si>
  <si>
    <t>ORD-1025</t>
  </si>
  <si>
    <t>ORD-1026</t>
  </si>
  <si>
    <t>ORD-1027</t>
  </si>
  <si>
    <t>ORD-1028</t>
  </si>
  <si>
    <t>ORD-1029</t>
  </si>
  <si>
    <t>ORD-1030</t>
  </si>
  <si>
    <t>ORD-1031</t>
  </si>
  <si>
    <t>ORD-1032</t>
  </si>
  <si>
    <t>ORD-1033</t>
  </si>
  <si>
    <t>ORD-1034</t>
  </si>
  <si>
    <t>ORD-1035</t>
  </si>
  <si>
    <t>ORD-1036</t>
  </si>
  <si>
    <t>ORD-1037</t>
  </si>
  <si>
    <t>ORD-1038</t>
  </si>
  <si>
    <t>ORD-1039</t>
  </si>
  <si>
    <t>ORD-1040</t>
  </si>
  <si>
    <t>ORD-1041</t>
  </si>
  <si>
    <t>ORD-1042</t>
  </si>
  <si>
    <t>ORD-1043</t>
  </si>
  <si>
    <t>ORD-1044</t>
  </si>
  <si>
    <t>ORD-1045</t>
  </si>
  <si>
    <t>ORD-1046</t>
  </si>
  <si>
    <t>ORD-1047</t>
  </si>
  <si>
    <t>ORD-1048</t>
  </si>
  <si>
    <t>ORD-1049</t>
  </si>
  <si>
    <t>ORD-1050</t>
  </si>
  <si>
    <t>ORD-1051</t>
  </si>
  <si>
    <t>ORD-1052</t>
  </si>
  <si>
    <t>ORD-1053</t>
  </si>
  <si>
    <t>ORD-1054</t>
  </si>
  <si>
    <t>ORD-1055</t>
  </si>
  <si>
    <t>ORD-1056</t>
  </si>
  <si>
    <t>ORD-1057</t>
  </si>
  <si>
    <t>ORD-1058</t>
  </si>
  <si>
    <t>ORD-1059</t>
  </si>
  <si>
    <t>ORD-1060</t>
  </si>
  <si>
    <t>ORD-1061</t>
  </si>
  <si>
    <t>ORD-1062</t>
  </si>
  <si>
    <t>ORD-1063</t>
  </si>
  <si>
    <t>ORD-1064</t>
  </si>
  <si>
    <t>ORD-1065</t>
  </si>
  <si>
    <t>ORD-1066</t>
  </si>
  <si>
    <t>ORD-1067</t>
  </si>
  <si>
    <t>ORD-1068</t>
  </si>
  <si>
    <t>ORD-1069</t>
  </si>
  <si>
    <t>ORD-1070</t>
  </si>
  <si>
    <t>ORD-1071</t>
  </si>
  <si>
    <t>ORD-1072</t>
  </si>
  <si>
    <t>ORD-1073</t>
  </si>
  <si>
    <t>ORD-1074</t>
  </si>
  <si>
    <t>ORD-1075</t>
  </si>
  <si>
    <t>ORD-1076</t>
  </si>
  <si>
    <t>ORD-1077</t>
  </si>
  <si>
    <t>ORD-1078</t>
  </si>
  <si>
    <t>ORD-1079</t>
  </si>
  <si>
    <t>ORD-1080</t>
  </si>
  <si>
    <t>ORD-1081</t>
  </si>
  <si>
    <t>ORD-1082</t>
  </si>
  <si>
    <t>ORD-1083</t>
  </si>
  <si>
    <t>ORD-1084</t>
  </si>
  <si>
    <t>ORD-1085</t>
  </si>
  <si>
    <t>ORD-1086</t>
  </si>
  <si>
    <t>ORD-1087</t>
  </si>
  <si>
    <t>ORD-1088</t>
  </si>
  <si>
    <t>ORD-1089</t>
  </si>
  <si>
    <t>ORD-1090</t>
  </si>
  <si>
    <t>ORD-1091</t>
  </si>
  <si>
    <t>ORD-1092</t>
  </si>
  <si>
    <t>ORD-1093</t>
  </si>
  <si>
    <t>ORD-1094</t>
  </si>
  <si>
    <t>ORD-1095</t>
  </si>
  <si>
    <t>ORD-1096</t>
  </si>
  <si>
    <t>ORD-1097</t>
  </si>
  <si>
    <t>ORD-1098</t>
  </si>
  <si>
    <t>ORD-1099</t>
  </si>
  <si>
    <t>ORD-1100</t>
  </si>
  <si>
    <t>ORD-1101</t>
  </si>
  <si>
    <t>ORD-1102</t>
  </si>
  <si>
    <t>ORD-1103</t>
  </si>
  <si>
    <t>ORD-1104</t>
  </si>
  <si>
    <t>ORD-1105</t>
  </si>
  <si>
    <t>ORD-1106</t>
  </si>
  <si>
    <t>ORD-1107</t>
  </si>
  <si>
    <t>ORD-1108</t>
  </si>
  <si>
    <t>ORD-1109</t>
  </si>
  <si>
    <t>ORD-1110</t>
  </si>
  <si>
    <t>ORD-1111</t>
  </si>
  <si>
    <t>ORD-1112</t>
  </si>
  <si>
    <t>ORD-1113</t>
  </si>
  <si>
    <t>ORD-1114</t>
  </si>
  <si>
    <t>ORD-1115</t>
  </si>
  <si>
    <t>ORD-1116</t>
  </si>
  <si>
    <t>ORD-1117</t>
  </si>
  <si>
    <t>ORD-1118</t>
  </si>
  <si>
    <t>ORD-1119</t>
  </si>
  <si>
    <t>ORD-1120</t>
  </si>
  <si>
    <t>ORD-1121</t>
  </si>
  <si>
    <t>ORD-1122</t>
  </si>
  <si>
    <t>ORD-1123</t>
  </si>
  <si>
    <t>ORD-1124</t>
  </si>
  <si>
    <t>ORD-1125</t>
  </si>
  <si>
    <t>ORD-1126</t>
  </si>
  <si>
    <t>ORD-1127</t>
  </si>
  <si>
    <t>ORD-1128</t>
  </si>
  <si>
    <t>ORD-1129</t>
  </si>
  <si>
    <t>ORD-1130</t>
  </si>
  <si>
    <t>ORD-1131</t>
  </si>
  <si>
    <t>ORD-1132</t>
  </si>
  <si>
    <t>ORD-1133</t>
  </si>
  <si>
    <t>ORD-1134</t>
  </si>
  <si>
    <t>ORD-1135</t>
  </si>
  <si>
    <t>ORD-1136</t>
  </si>
  <si>
    <t>ORD-1137</t>
  </si>
  <si>
    <t>ORD-1138</t>
  </si>
  <si>
    <t>ORD-1139</t>
  </si>
  <si>
    <t>ORD-1140</t>
  </si>
  <si>
    <t>ORD-1141</t>
  </si>
  <si>
    <t>ORD-1142</t>
  </si>
  <si>
    <t>ORD-1143</t>
  </si>
  <si>
    <t>ORD-1144</t>
  </si>
  <si>
    <t>ORD-1145</t>
  </si>
  <si>
    <t>ORD-1146</t>
  </si>
  <si>
    <t>ORD-1147</t>
  </si>
  <si>
    <t>ORD-1148</t>
  </si>
  <si>
    <t>ORD-1149</t>
  </si>
  <si>
    <t>ORD-1150</t>
  </si>
  <si>
    <t>ORD-1151</t>
  </si>
  <si>
    <t>ORD-1152</t>
  </si>
  <si>
    <t>ORD-1153</t>
  </si>
  <si>
    <t>ORD-1154</t>
  </si>
  <si>
    <t>ORD-1155</t>
  </si>
  <si>
    <t>ORD-1156</t>
  </si>
  <si>
    <t>ORD-1157</t>
  </si>
  <si>
    <t>ORD-1158</t>
  </si>
  <si>
    <t>ORD-1159</t>
  </si>
  <si>
    <t>ORD-1160</t>
  </si>
  <si>
    <t>ORD-1161</t>
  </si>
  <si>
    <t>ORD-1162</t>
  </si>
  <si>
    <t>ORD-1163</t>
  </si>
  <si>
    <t>ORD-1164</t>
  </si>
  <si>
    <t>ORD-1165</t>
  </si>
  <si>
    <t>ORD-1166</t>
  </si>
  <si>
    <t>ORD-1167</t>
  </si>
  <si>
    <t>ORD-1168</t>
  </si>
  <si>
    <t>ORD-1169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</si>
</sst>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5" formatCode="dd\ mmm\ yyyy"/>
    <numFmt numFmtId="166" formatCode="\$#,##0.00"/>
    <numFmt numFmtId="167" formatCode="\$#,##0;\(\$#,##0\);&quot;-&quot;"/>
    <numFmt numFmtId="168" formatCode="mmm\ yyyy"/>
    <numFmt numFmtId="169" formatCode="0.0%"/>
    <numFmt numFmtId="170" formatCode="0;\-0;&quot;-&quot;"/>
    <numFmt numFmtId="171" formatCode="0.0&quot; days&quot;"/>
    <numFmt numFmtId="172" formatCode="\$#,##0;[Red]\(\$#,##0\);&quot;-&quot;"/>
  </numFmts>
  <fonts count="26" x14ac:knownFonts="1">
    <font>
      <sz val="11"/>
      <color theme="1"/>
      <name val="Calibri"/>
      <family val="2"/>
      <scheme val="minor"/>
    </font>
    <font>
      <b/>
      <sz val="20"/>
      <color rgb="FFFFFFFF"/>
      <name val="Arial"/>
      <family val="2"/>
    </font>
    <font>
      <sz val="9.5"/>
      <color rgb="FFFFFFFF"/>
      <name val="Arial"/>
      <family val="2"/>
    </font>
    <font>
      <sz val="9"/>
      <color rgb="FF6B7280"/>
      <name val="Arial"/>
      <family val="2"/>
    </font>
    <font>
      <b/>
      <sz val="11"/>
      <color rgb="FF1F3A5F"/>
      <name val="Arial"/>
      <family val="2"/>
    </font>
    <font>
      <b/>
      <sz val="9.5"/>
      <color rgb="FFFFFFFF"/>
      <name val="Arial"/>
      <family val="2"/>
    </font>
    <font>
      <sz val="10"/>
      <color rgb="FF1F2937"/>
      <name val="Arial"/>
      <family val="2"/>
    </font>
    <font>
      <sz val="10"/>
      <color rgb="FF374151"/>
      <name val="Arial"/>
      <family val="2"/>
    </font>
    <font>
      <b/>
      <sz val="10"/>
      <color rgb="FF1F2937"/>
      <name val="Arial"/>
      <family val="2"/>
    </font>
    <font>
      <b/>
      <sz val="10"/>
      <color rgb="FF0000FF"/>
      <name val="Arial"/>
      <family val="2"/>
    </font>
    <font>
      <b/>
      <sz val="10"/>
      <color rgb="FF2A9D8F"/>
      <name val="Arial"/>
      <family val="2"/>
    </font>
    <font>
      <b/>
      <u/>
      <sz val="10"/>
      <color rgb="FF1F3A5F"/>
      <name val="Arial"/>
      <family val="2"/>
    </font>
    <font>
      <sz val="10"/>
      <color rgb="FF6B7280"/>
      <name val="Arial"/>
      <family val="2"/>
    </font>
    <font>
      <b/>
      <sz val="9.5"/>
      <color rgb="FF0000FF"/>
      <name val="Arial"/>
      <family val="2"/>
    </font>
    <font>
      <i/>
      <sz val="8.5"/>
      <color rgb="FF6B7280"/>
      <name val="Arial"/>
      <family val="2"/>
    </font>
    <font>
      <b/>
      <sz val="8.5"/>
      <color rgb="FF6B7280"/>
      <name val="Arial"/>
      <family val="2"/>
    </font>
    <font>
      <b/>
      <sz val="18"/>
      <color rgb="FF1F3A5F"/>
      <name val="Arial"/>
      <family val="2"/>
    </font>
    <font>
      <sz val="8"/>
      <color rgb="FF6B7280"/>
      <name val="Arial"/>
      <family val="2"/>
    </font>
    <font>
      <b/>
      <sz val="10"/>
      <color rgb="FF1F3A5F"/>
      <name val="Arial"/>
      <family val="2"/>
    </font>
    <font>
      <i/>
      <sz val="9"/>
      <color rgb="FF6B7280"/>
      <name val="Arial"/>
      <family val="2"/>
    </font>
    <font>
      <b/>
      <sz val="9"/>
      <color rgb="FF1F3A5F"/>
      <name val="Arial"/>
      <family val="2"/>
    </font>
    <font>
      <b/>
      <sz val="18"/>
      <color rgb="FFD1603D"/>
      <name val="Arial"/>
      <family val="2"/>
    </font>
    <font>
      <sz val="9"/>
      <color rgb="FF1F2937"/>
      <name val="Arial"/>
      <family val="2"/>
    </font>
    <font>
      <b/>
      <sz val="9"/>
      <color rgb="FF2A9D8F"/>
      <name val="Arial"/>
      <family val="2"/>
    </font>
    <font>
      <b/>
      <sz val="9"/>
      <color rgb="FF6B7A90"/>
      <name val="Arial"/>
      <family val="2"/>
    </font>
    <font>
      <b/>
      <sz val="10"/>
      <color rgb="FF1E7B34"/>
      <name val="Arial"/>
      <family val="2"/>
    </font>
  </fonts>
  <fills count="6">
    <fill>
      <patternFill patternType="none"/>
    </fill>
    <fill>
      <patternFill patternType="gray125"/>
    </fill>
    <fill>
      <patternFill patternType="solid">
        <fgColor rgb="FF1F3A5F"/>
        <bgColor rgb="FF1F3A5F"/>
      </patternFill>
    </fill>
    <fill>
      <patternFill patternType="solid">
        <fgColor rgb="FF2A9D8F"/>
        <bgColor rgb="FF2A9D8F"/>
      </patternFill>
    </fill>
    <fill>
      <patternFill patternType="solid">
        <fgColor rgb="FFF3F5F8"/>
        <bgColor rgb="FFF3F5F8"/>
      </patternFill>
    </fill>
    <fill>
      <patternFill patternType="solid">
        <fgColor rgb="FFFFF8DC"/>
        <bgColor rgb="FFFFF8DC"/>
      </patternFill>
    </fill>
  </fills>
  <borders count="12">
    <border>
      <left/>
      <right/>
      <top/>
      <bottom/>
      <diagonal/>
    </border>
    <border>
      <left/>
      <right/>
      <top/>
      <bottom style="medium">
        <color rgb="FF1F3A5F"/>
      </bottom>
      <diagonal/>
    </border>
    <border>
      <left/>
      <right/>
      <top/>
      <bottom style="thin">
        <color rgb="FFD5DAE3"/>
      </bottom>
      <diagonal/>
    </border>
    <border>
      <left style="thin">
        <color rgb="FFD5DAE3"/>
      </left>
      <right style="thin">
        <color rgb="FFD5DAE3"/>
      </right>
      <top style="thin">
        <color rgb="FFD5DAE3"/>
      </top>
      <bottom style="thin">
        <color rgb="FFD5DAE3"/>
      </bottom>
      <diagonal/>
    </border>
    <border>
      <left/>
      <right/>
      <top/>
      <bottom style="hair">
        <color rgb="FFD5DAE3"/>
      </bottom>
      <diagonal/>
    </border>
    <border>
      <left style="thin">
        <color rgb="FFD5DAE3"/>
      </left>
      <right/>
      <top style="medium">
        <color rgb="FF2A9D8F"/>
      </top>
      <bottom/>
      <diagonal/>
    </border>
    <border>
      <left/>
      <right style="thin">
        <color rgb="FFD5DAE3"/>
      </right>
      <top style="medium">
        <color rgb="FF2A9D8F"/>
      </top>
      <bottom/>
      <diagonal/>
    </border>
    <border>
      <left style="thin">
        <color rgb="FFD5DAE3"/>
      </left>
      <right/>
      <top/>
      <bottom/>
      <diagonal/>
    </border>
    <border>
      <left/>
      <right style="thin">
        <color rgb="FFD5DAE3"/>
      </right>
      <top/>
      <bottom/>
      <diagonal/>
    </border>
    <border>
      <left style="thin">
        <color rgb="FFD5DAE3"/>
      </left>
      <right/>
      <top/>
      <bottom style="thin">
        <color rgb="FFD5DAE3"/>
      </bottom>
      <diagonal/>
    </border>
    <border>
      <left/>
      <right style="thin">
        <color rgb="FFD5DAE3"/>
      </right>
      <top/>
      <bottom style="thin">
        <color rgb="FFD5DAE3"/>
      </bottom>
      <diagonal/>
    </border>
    <border>
      <left/>
      <right/>
      <top style="thin">
        <color rgb="FF1F3A5F"/>
      </top>
      <bottom style="thin">
        <color rgb="FF1F3A5F"/>
      </bottom>
      <diagonal/>
    </border>
  </borders>
  <cellStyleXfs count="1">
    <xf numFmtId="0" fontId="0" fillId="0" borderId="0"/>
  </cellStyleXfs>
  <cellXfs count="87">
    <xf numFmtId="0" fontId="0" fillId="0" borderId="0" xfId="0"/>
    <xf numFmtId="165" fontId="9" fillId="5" borderId="3" xfId="0" applyNumberFormat="1" applyFont="1" applyFill="1" applyBorder="1" applyAlignment="1">
      <alignment horizontal="center" vertical="center"/>
    </xf>
    <xf numFmtId="0" fontId="10" fillId="0" borderId="0" xfId="0" applyFont="1" applyAlignment="1">
      <alignment horizontal="right" vertical="top" indent="1"/>
    </xf>
    <xf numFmtId="0" fontId="5" fillId="2" borderId="0" xfId="0" applyFont="1" applyFill="1" applyAlignment="1">
      <alignment horizontal="left" vertical="center" wrapText="1" indent="1"/>
    </xf>
    <xf numFmtId="0" fontId="5" fillId="2" borderId="0" xfId="0" applyFont="1" applyFill="1" applyAlignment="1">
      <alignment horizontal="center" vertical="center" wrapText="1"/>
    </xf>
    <xf numFmtId="0" fontId="11" fillId="0" borderId="4" xfId="0" applyFont="1" applyBorder="1" applyAlignment="1">
      <alignment vertical="center" indent="1"/>
    </xf>
    <xf numFmtId="0" fontId="5" fillId="2" borderId="3" xfId="0" applyFont="1" applyFill="1" applyBorder="1" applyAlignment="1">
      <alignment horizontal="center" vertical="center"/>
    </xf>
    <xf numFmtId="0" fontId="5" fillId="3" borderId="3" xfId="0" applyFont="1" applyFill="1" applyBorder="1" applyAlignment="1">
      <alignment horizontal="center" vertical="center"/>
    </xf>
    <xf numFmtId="0" fontId="13" fillId="5" borderId="3" xfId="0" applyFont="1" applyFill="1" applyBorder="1" applyAlignment="1">
      <alignment horizontal="center" vertical="center"/>
    </xf>
    <xf numFmtId="168" fontId="6" fillId="0" borderId="4" xfId="0" applyNumberFormat="1" applyFont="1" applyBorder="1" applyAlignment="1">
      <alignment horizontal="left" vertical="center" indent="1"/>
    </xf>
    <xf numFmtId="3" fontId="6" fillId="0" borderId="4" xfId="0" applyNumberFormat="1" applyFont="1" applyBorder="1" applyAlignment="1">
      <alignment horizontal="right" vertical="center"/>
    </xf>
    <xf numFmtId="167" fontId="6" fillId="0" borderId="4" xfId="0" applyNumberFormat="1" applyFont="1" applyBorder="1" applyAlignment="1">
      <alignment horizontal="right" vertical="center"/>
    </xf>
    <xf numFmtId="0" fontId="18" fillId="4" borderId="11" xfId="0" applyFont="1" applyFill="1" applyBorder="1" applyAlignment="1">
      <alignment horizontal="left" vertical="center" indent="1"/>
    </xf>
    <xf numFmtId="3" fontId="18" fillId="4" borderId="11" xfId="0" applyNumberFormat="1" applyFont="1" applyFill="1" applyBorder="1" applyAlignment="1">
      <alignment horizontal="right"/>
    </xf>
    <xf numFmtId="167" fontId="18" fillId="4" borderId="11" xfId="0" applyNumberFormat="1" applyFont="1" applyFill="1" applyBorder="1" applyAlignment="1">
      <alignment horizontal="right"/>
    </xf>
    <xf numFmtId="0" fontId="6" fillId="0" borderId="4" xfId="0" applyFont="1" applyBorder="1" applyAlignment="1">
      <alignment horizontal="left" vertical="center" indent="1"/>
    </xf>
    <xf numFmtId="169" fontId="6" fillId="0" borderId="4" xfId="0" applyNumberFormat="1" applyFont="1" applyBorder="1" applyAlignment="1">
      <alignment horizontal="right" vertical="center"/>
    </xf>
    <xf numFmtId="169" fontId="18" fillId="4" borderId="11" xfId="0" applyNumberFormat="1" applyFont="1" applyFill="1" applyBorder="1" applyAlignment="1">
      <alignment horizontal="right"/>
    </xf>
    <xf numFmtId="0" fontId="18" fillId="4" borderId="11" xfId="0" applyFont="1" applyFill="1" applyBorder="1"/>
    <xf numFmtId="3" fontId="12" fillId="0" borderId="4" xfId="0" applyNumberFormat="1" applyFont="1" applyBorder="1" applyAlignment="1">
      <alignment horizontal="right" vertical="center"/>
    </xf>
    <xf numFmtId="167" fontId="12" fillId="0" borderId="4" xfId="0" applyNumberFormat="1" applyFont="1" applyBorder="1" applyAlignment="1">
      <alignment horizontal="right" vertical="center"/>
    </xf>
    <xf numFmtId="0" fontId="5" fillId="2" borderId="2" xfId="0" applyFont="1" applyFill="1" applyBorder="1" applyAlignment="1">
      <alignment horizontal="center" vertical="center" wrapText="1"/>
    </xf>
    <xf numFmtId="165" fontId="6" fillId="0" borderId="0" xfId="0" applyNumberFormat="1" applyFont="1" applyAlignment="1">
      <alignment horizontal="center" vertical="center"/>
    </xf>
    <xf numFmtId="0" fontId="6" fillId="0" borderId="0" xfId="0" applyFont="1" applyAlignment="1">
      <alignment horizontal="left" vertical="center"/>
    </xf>
    <xf numFmtId="166" fontId="6" fillId="0" borderId="0" xfId="0" applyNumberFormat="1" applyFont="1" applyAlignment="1">
      <alignment horizontal="right" vertical="center"/>
    </xf>
    <xf numFmtId="0" fontId="6" fillId="0" borderId="0" xfId="0" applyFont="1" applyAlignment="1">
      <alignment horizontal="center" vertical="center"/>
    </xf>
    <xf numFmtId="0" fontId="5" fillId="3" borderId="2" xfId="0" applyFont="1" applyFill="1" applyBorder="1" applyAlignment="1">
      <alignment horizontal="center" vertical="center" wrapText="1"/>
    </xf>
    <xf numFmtId="170" fontId="7" fillId="0" borderId="0" xfId="0" applyNumberFormat="1" applyFont="1" applyAlignment="1">
      <alignment horizontal="center" vertical="center"/>
    </xf>
    <xf numFmtId="171" fontId="6" fillId="0" borderId="4" xfId="0" applyNumberFormat="1" applyFont="1" applyBorder="1" applyAlignment="1">
      <alignment horizontal="right" vertical="center"/>
    </xf>
    <xf numFmtId="167" fontId="6" fillId="0" borderId="0" xfId="0" applyNumberFormat="1" applyFont="1" applyAlignment="1">
      <alignment horizontal="right" vertical="center"/>
    </xf>
    <xf numFmtId="0" fontId="7" fillId="0" borderId="0" xfId="0" applyFont="1" applyAlignment="1">
      <alignment horizontal="center" vertical="center"/>
    </xf>
    <xf numFmtId="172" fontId="6" fillId="0" borderId="4" xfId="0" applyNumberFormat="1" applyFont="1" applyBorder="1" applyAlignment="1">
      <alignment horizontal="right" vertical="center"/>
    </xf>
    <xf numFmtId="172" fontId="18" fillId="4" borderId="11" xfId="0" applyNumberFormat="1" applyFont="1" applyFill="1" applyBorder="1" applyAlignment="1">
      <alignment horizontal="right"/>
    </xf>
    <xf numFmtId="0" fontId="23" fillId="0" borderId="4" xfId="0" applyFont="1" applyBorder="1" applyAlignment="1">
      <alignment horizontal="center" vertical="center"/>
    </xf>
    <xf numFmtId="0" fontId="24" fillId="0" borderId="4" xfId="0" applyFont="1" applyBorder="1" applyAlignment="1">
      <alignment horizontal="center" vertical="center"/>
    </xf>
    <xf numFmtId="0" fontId="25" fillId="0" borderId="4" xfId="0" applyFont="1" applyBorder="1" applyAlignment="1">
      <alignment horizontal="center"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49" fontId="7" fillId="0" borderId="0" xfId="0" applyNumberFormat="1" applyFont="1" applyAlignment="1">
      <alignment horizontal="left" vertical="center"/>
    </xf>
    <xf numFmtId="0" fontId="18" fillId="0" borderId="0" xfId="0" applyFont="1" applyAlignment="1">
      <alignment horizontal="center" vertical="top" wrapText="1"/>
    </xf>
    <xf numFmtId="0" fontId="6" fillId="0" borderId="0" xfId="0" applyFont="1" applyAlignment="1">
      <alignment horizontal="left" vertical="top" wrapText="1"/>
    </xf>
    <xf numFmtId="0" fontId="18" fillId="0" borderId="0" xfId="0" applyFont="1" applyAlignment="1">
      <alignment horizontal="left" vertical="top" wrapText="1"/>
    </xf>
    <xf numFmtId="3" fontId="6" fillId="0" borderId="0" xfId="0" applyNumberFormat="1" applyFont="1" applyAlignment="1">
      <alignment horizontal="center" vertical="center"/>
    </xf>
    <xf numFmtId="166" fontId="7" fillId="0" borderId="0" xfId="0" applyNumberFormat="1" applyFont="1" applyAlignment="1">
      <alignment horizontal="right" vertical="center"/>
    </xf>
    <xf numFmtId="3" fontId="7" fillId="0" borderId="0" xfId="0" applyNumberFormat="1" applyFont="1" applyAlignment="1">
      <alignment horizontal="center" vertical="center"/>
    </xf>
    <xf numFmtId="167" fontId="7" fillId="0" borderId="0" xfId="0" applyNumberFormat="1" applyFont="1" applyAlignment="1">
      <alignment horizontal="right" vertical="center"/>
    </xf>
    <xf numFmtId="0" fontId="4" fillId="0" borderId="1" xfId="0" applyFont="1" applyBorder="1" applyAlignment="1">
      <alignment horizontal="left" vertical="center"/>
    </xf>
    <xf numFmtId="0" fontId="12" fillId="0" borderId="4" xfId="0" applyFont="1" applyBorder="1" applyAlignment="1">
      <alignment vertical="center" wrapText="1" indent="1"/>
    </xf>
    <xf numFmtId="0" fontId="8" fillId="4" borderId="0" xfId="0" applyFont="1" applyFill="1" applyAlignment="1">
      <alignment vertical="center" indent="1"/>
    </xf>
    <xf numFmtId="0" fontId="6" fillId="0" borderId="0" xfId="0" applyFont="1" applyAlignment="1">
      <alignment vertical="top" wrapText="1"/>
    </xf>
    <xf numFmtId="0" fontId="6" fillId="0" borderId="0" xfId="0" applyFont="1" applyAlignment="1">
      <alignment vertical="top" wrapText="1" indent="1"/>
    </xf>
    <xf numFmtId="0" fontId="2" fillId="3" borderId="0" xfId="0" applyFont="1" applyFill="1" applyAlignment="1">
      <alignment horizontal="left" vertical="center" wrapText="1" indent="1"/>
    </xf>
    <xf numFmtId="0" fontId="6" fillId="0" borderId="4" xfId="0" applyFont="1" applyBorder="1" applyAlignment="1">
      <alignment vertical="center" wrapText="1" indent="1"/>
    </xf>
    <xf numFmtId="0" fontId="1" fillId="2" borderId="0" xfId="0" applyFont="1" applyFill="1" applyAlignment="1">
      <alignment horizontal="left" vertical="center" indent="1"/>
    </xf>
    <xf numFmtId="0" fontId="14" fillId="0" borderId="0" xfId="0" applyFont="1" applyAlignment="1">
      <alignment horizontal="center"/>
    </xf>
    <xf numFmtId="0" fontId="5" fillId="2" borderId="0" xfId="0" applyFont="1" applyFill="1" applyAlignment="1">
      <alignment horizontal="center" vertical="center" wrapText="1"/>
    </xf>
    <xf numFmtId="0" fontId="3" fillId="0" borderId="0" xfId="0" applyFont="1" applyAlignment="1">
      <alignment vertical="center" wrapText="1" indent="1"/>
    </xf>
    <xf numFmtId="0" fontId="6" fillId="0" borderId="0" xfId="0" applyFont="1" applyAlignment="1">
      <alignment vertical="center" indent="1"/>
    </xf>
    <xf numFmtId="168" fontId="6" fillId="0" borderId="4" xfId="0" applyNumberFormat="1" applyFont="1" applyBorder="1" applyAlignment="1">
      <alignment horizontal="left" vertical="center" indent="1"/>
    </xf>
    <xf numFmtId="0" fontId="17" fillId="4" borderId="9" xfId="0" applyFont="1" applyFill="1" applyBorder="1" applyAlignment="1">
      <alignment horizontal="left" vertical="center" indent="1" shrinkToFit="1"/>
    </xf>
    <xf numFmtId="0" fontId="17" fillId="4" borderId="10" xfId="0" applyFont="1" applyFill="1" applyBorder="1" applyAlignment="1">
      <alignment horizontal="left" vertical="center" indent="1" shrinkToFit="1"/>
    </xf>
    <xf numFmtId="0" fontId="15" fillId="4" borderId="5" xfId="0" applyFont="1" applyFill="1" applyBorder="1" applyAlignment="1">
      <alignment horizontal="left" vertical="center" indent="1"/>
    </xf>
    <xf numFmtId="0" fontId="15" fillId="4" borderId="6" xfId="0" applyFont="1" applyFill="1" applyBorder="1" applyAlignment="1">
      <alignment horizontal="left" vertical="center" indent="1"/>
    </xf>
    <xf numFmtId="0" fontId="6" fillId="0" borderId="4" xfId="0" applyFont="1" applyBorder="1" applyAlignment="1">
      <alignment horizontal="left" vertical="center" indent="1"/>
    </xf>
    <xf numFmtId="0" fontId="3" fillId="0" borderId="0" xfId="0" applyFont="1" applyAlignment="1">
      <alignment vertical="top" wrapText="1" indent="1"/>
    </xf>
    <xf numFmtId="0" fontId="18" fillId="4" borderId="11" xfId="0" applyFont="1" applyFill="1" applyBorder="1" applyAlignment="1">
      <alignment horizontal="left" vertical="center" indent="1"/>
    </xf>
    <xf numFmtId="167" fontId="16" fillId="4" borderId="7" xfId="0" applyNumberFormat="1" applyFont="1" applyFill="1" applyBorder="1" applyAlignment="1">
      <alignment horizontal="left" vertical="center" indent="1" shrinkToFit="1"/>
    </xf>
    <xf numFmtId="167" fontId="16" fillId="4" borderId="8" xfId="0" applyNumberFormat="1" applyFont="1" applyFill="1" applyBorder="1" applyAlignment="1">
      <alignment horizontal="left" vertical="center" indent="1" shrinkToFit="1"/>
    </xf>
    <xf numFmtId="0" fontId="5" fillId="2" borderId="0" xfId="0" applyFont="1" applyFill="1" applyAlignment="1">
      <alignment horizontal="left" vertical="center" wrapText="1" indent="1"/>
    </xf>
    <xf numFmtId="0" fontId="19" fillId="0" borderId="4" xfId="0" applyFont="1" applyBorder="1" applyAlignment="1">
      <alignment horizontal="left" vertical="center" indent="1"/>
    </xf>
    <xf numFmtId="3" fontId="16" fillId="4" borderId="7" xfId="0" applyNumberFormat="1" applyFont="1" applyFill="1" applyBorder="1" applyAlignment="1">
      <alignment horizontal="left" vertical="center" indent="1" shrinkToFit="1"/>
    </xf>
    <xf numFmtId="3" fontId="16" fillId="4" borderId="8" xfId="0" applyNumberFormat="1" applyFont="1" applyFill="1" applyBorder="1" applyAlignment="1">
      <alignment horizontal="left" vertical="center" indent="1" shrinkToFit="1"/>
    </xf>
    <xf numFmtId="0" fontId="14" fillId="0" borderId="0" xfId="0" applyFont="1" applyAlignment="1">
      <alignment horizontal="left" indent="1"/>
    </xf>
    <xf numFmtId="0" fontId="20" fillId="0" borderId="0" xfId="0" applyFont="1" applyAlignment="1">
      <alignment vertical="top" wrapText="1" indent="1"/>
    </xf>
    <xf numFmtId="167" fontId="21" fillId="4" borderId="7" xfId="0" applyNumberFormat="1" applyFont="1" applyFill="1" applyBorder="1" applyAlignment="1">
      <alignment horizontal="left" vertical="center" indent="1" shrinkToFit="1"/>
    </xf>
    <xf numFmtId="169" fontId="16" fillId="4" borderId="7" xfId="0" applyNumberFormat="1" applyFont="1" applyFill="1" applyBorder="1" applyAlignment="1">
      <alignment horizontal="left" vertical="center" indent="1" shrinkToFit="1"/>
    </xf>
    <xf numFmtId="169" fontId="16" fillId="4" borderId="8" xfId="0" applyNumberFormat="1" applyFont="1" applyFill="1" applyBorder="1" applyAlignment="1">
      <alignment horizontal="left" vertical="center" indent="1" shrinkToFit="1"/>
    </xf>
    <xf numFmtId="0" fontId="8" fillId="0" borderId="4" xfId="0" applyFont="1" applyBorder="1" applyAlignment="1">
      <alignment horizontal="left" vertical="center" indent="1"/>
    </xf>
    <xf numFmtId="0" fontId="3" fillId="0" borderId="4" xfId="0" applyFont="1" applyBorder="1" applyAlignment="1">
      <alignment vertical="center" wrapText="1" indent="1"/>
    </xf>
    <xf numFmtId="169" fontId="18" fillId="0" borderId="4" xfId="0" applyNumberFormat="1" applyFont="1" applyBorder="1" applyAlignment="1">
      <alignment horizontal="center" vertical="center" shrinkToFit="1"/>
    </xf>
    <xf numFmtId="167" fontId="18" fillId="0" borderId="4" xfId="0" applyNumberFormat="1" applyFont="1" applyBorder="1" applyAlignment="1">
      <alignment horizontal="center" vertical="center" shrinkToFit="1"/>
    </xf>
    <xf numFmtId="0" fontId="22" fillId="0" borderId="4" xfId="0" applyFont="1" applyBorder="1" applyAlignment="1">
      <alignment vertical="center" wrapText="1" indent="1"/>
    </xf>
    <xf numFmtId="0" fontId="14" fillId="0" borderId="0" xfId="0" applyFont="1" applyAlignment="1">
      <alignment horizontal="left" vertical="top" wrapText="1" indent="1"/>
    </xf>
    <xf numFmtId="0" fontId="3" fillId="0" borderId="4" xfId="0" applyFont="1" applyBorder="1" applyAlignment="1">
      <alignment vertical="center" indent="1"/>
    </xf>
    <xf numFmtId="3" fontId="18" fillId="0" borderId="4" xfId="0" applyNumberFormat="1" applyFont="1" applyBorder="1" applyAlignment="1">
      <alignment horizontal="center" vertical="center" shrinkToFit="1"/>
    </xf>
    <xf numFmtId="0" fontId="18" fillId="0" borderId="0" xfId="0" applyFont="1" applyAlignment="1">
      <alignment vertical="center"/>
    </xf>
    <xf numFmtId="0" fontId="19" fillId="0" borderId="0" xfId="0" applyFont="1" applyAlignment="1">
      <alignment vertical="center" wrapText="1" indent="1"/>
    </xf>
  </cellXfs>
  <cellStyles count="1">
    <cellStyle name="Normal" xfId="0" builtinId="0"/>
  </cellStyles>
  <dxfs count="21">
    <dxf>
      <font>
        <strike/>
        <color rgb="FF9CA3AF"/>
      </font>
    </dxf>
    <dxf>
      <font>
        <color rgb="FF8A5A00"/>
      </font>
      <fill>
        <patternFill patternType="solid">
          <fgColor rgb="FFFFF4D6"/>
          <bgColor rgb="FFFFF4D6"/>
        </patternFill>
      </fill>
    </dxf>
    <dxf>
      <font>
        <color rgb="FF9CA3AF"/>
      </font>
    </dxf>
    <dxf>
      <font>
        <b/>
        <color rgb="FFB42318"/>
      </font>
      <fill>
        <patternFill patternType="solid">
          <fgColor rgb="FFFDE7E7"/>
          <bgColor rgb="FFFDE7E7"/>
        </patternFill>
      </fill>
    </dxf>
    <dxf>
      <font>
        <b/>
        <color rgb="FF8A5A00"/>
      </font>
      <fill>
        <patternFill patternType="solid">
          <fgColor rgb="FFFFF4D6"/>
          <bgColor rgb="FFFFF4D6"/>
        </patternFill>
      </fill>
    </dxf>
    <dxf>
      <font>
        <color rgb="FF1E7B34"/>
      </font>
      <fill>
        <patternFill patternType="solid">
          <fgColor rgb="FFE6F4EA"/>
          <bgColor rgb="FFE6F4EA"/>
        </patternFill>
      </fill>
    </dxf>
    <dxf>
      <font>
        <color rgb="FFB42318"/>
      </font>
      <fill>
        <patternFill patternType="solid">
          <fgColor rgb="FFFDE7E7"/>
          <bgColor rgb="FFFDE7E7"/>
        </patternFill>
      </fill>
    </dxf>
    <dxf>
      <font>
        <b/>
        <color rgb="FF1E7B34"/>
      </font>
      <fill>
        <patternFill patternType="solid">
          <fgColor rgb="FFE6F4EA"/>
          <bgColor rgb="FFE6F4EA"/>
        </patternFill>
      </fill>
    </dxf>
    <dxf>
      <font>
        <b/>
        <color rgb="FFB42318"/>
      </font>
      <fill>
        <patternFill patternType="solid">
          <fgColor rgb="FFFDE7E7"/>
          <bgColor rgb="FFFDE7E7"/>
        </patternFill>
      </fill>
    </dxf>
    <dxf>
      <font>
        <color rgb="FF6B7280"/>
      </font>
      <fill>
        <patternFill patternType="solid">
          <fgColor rgb="FFEEF0F3"/>
          <bgColor rgb="FFEEF0F3"/>
        </patternFill>
      </fill>
    </dxf>
    <dxf>
      <font>
        <b/>
        <color rgb="FF1E7B34"/>
      </font>
      <fill>
        <patternFill patternType="solid">
          <fgColor rgb="FFE6F4EA"/>
          <bgColor rgb="FFE6F4EA"/>
        </patternFill>
      </fill>
    </dxf>
    <dxf>
      <font>
        <color rgb="FF9CA3AF"/>
      </font>
    </dxf>
    <dxf>
      <font>
        <b/>
        <color rgb="FF8A5A00"/>
      </font>
      <fill>
        <patternFill patternType="solid">
          <fgColor rgb="FFFFF4D6"/>
          <bgColor rgb="FFFFF4D6"/>
        </patternFill>
      </fill>
    </dxf>
    <dxf>
      <font>
        <b/>
        <color rgb="FFB42318"/>
      </font>
      <fill>
        <patternFill patternType="solid">
          <fgColor rgb="FFFDE7E7"/>
          <bgColor rgb="FFFDE7E7"/>
        </patternFill>
      </fill>
    </dxf>
    <dxf>
      <font>
        <b/>
        <color rgb="FF8A5A00"/>
      </font>
      <fill>
        <patternFill patternType="solid">
          <fgColor rgb="FFFFF4D6"/>
          <bgColor rgb="FFFFF4D6"/>
        </patternFill>
      </fill>
    </dxf>
    <dxf>
      <font>
        <b/>
        <color rgb="FFB42318"/>
      </font>
      <fill>
        <patternFill patternType="solid">
          <fgColor rgb="FFFDE7E7"/>
          <bgColor rgb="FFFDE7E7"/>
        </patternFill>
      </fill>
    </dxf>
    <dxf>
      <font>
        <b/>
        <color rgb="FF1E7B34"/>
      </font>
    </dxf>
    <dxf>
      <font>
        <color rgb="FF8A5A00"/>
      </font>
      <fill>
        <patternFill patternType="solid">
          <fgColor rgb="FFFFF4D6"/>
          <bgColor rgb="FFFFF4D6"/>
        </patternFill>
      </fill>
    </dxf>
    <dxf>
      <font>
        <color rgb="FFB42318"/>
      </font>
      <fill>
        <patternFill patternType="solid">
          <fgColor rgb="FFFDE7E7"/>
          <bgColor rgb="FFFDE7E7"/>
        </patternFill>
      </fill>
    </dxf>
    <dxf>
      <font>
        <color rgb="FF1E7B34"/>
      </font>
      <fill>
        <patternFill patternType="solid">
          <fgColor rgb="FFE6F4EA"/>
          <bgColor rgb="FFE6F4EA"/>
        </patternFill>
      </fill>
    </dxf>
    <dxf>
      <font>
        <color rgb="FF8A5A00"/>
      </font>
      <fill>
        <patternFill patternType="solid">
          <fgColor rgb="FFFFF4D6"/>
          <bgColor rgb="FFFFF4D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1F3A5F"/>
                </a:solidFill>
                <a:latin typeface="Arial"/>
              </a:defRPr>
            </a:pPr>
            <a:r>
              <a:rPr sz="1100" b="1">
                <a:solidFill>
                  <a:srgbClr val="1F3A5F"/>
                </a:solidFill>
                <a:latin typeface="Arial"/>
              </a:rPr>
              <a:t>Monthly revenue: paid vs pending</a:t>
            </a:r>
          </a:p>
        </c:rich>
      </c:tx>
      <c:overlay val="0"/>
    </c:title>
    <c:autoTitleDeleted val="0"/>
    <c:plotArea>
      <c:layout/>
      <c:barChart>
        <c:barDir val="col"/>
        <c:grouping val="stacked"/>
        <c:varyColors val="1"/>
        <c:ser>
          <c:idx val="0"/>
          <c:order val="0"/>
          <c:tx>
            <c:strRef>
              <c:f>SALES_DASHBOARD!$F$10</c:f>
              <c:strCache>
                <c:ptCount val="1"/>
                <c:pt idx="0">
                  <c:v>Paid</c:v>
                </c:pt>
              </c:strCache>
            </c:strRef>
          </c:tx>
          <c:spPr>
            <a:solidFill>
              <a:srgbClr val="1F3A5F"/>
            </a:solidFill>
            <a:ln>
              <a:solidFill>
                <a:srgbClr val="1F3A5F"/>
              </a:solidFill>
              <a:prstDash val="solid"/>
            </a:ln>
          </c:spPr>
          <c:invertIfNegative val="1"/>
          <c:cat>
            <c:numRef>
              <c:f>SALES_DASHBOARD!$B$11:$B$22</c:f>
              <c:numCache>
                <c:formatCode>mmm\ yyyy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SALES_DASHBOARD!$F$11:$F$22</c:f>
              <c:numCache>
                <c:formatCode>\$#,##0;\(\$#,##0\);"-"</c:formatCode>
                <c:ptCount val="12"/>
                <c:pt idx="0">
                  <c:v>6790</c:v>
                </c:pt>
                <c:pt idx="1">
                  <c:v>6703</c:v>
                </c:pt>
                <c:pt idx="2">
                  <c:v>11688</c:v>
                </c:pt>
                <c:pt idx="3">
                  <c:v>7783</c:v>
                </c:pt>
                <c:pt idx="4">
                  <c:v>8114</c:v>
                </c:pt>
                <c:pt idx="5">
                  <c:v>13187</c:v>
                </c:pt>
                <c:pt idx="6">
                  <c:v>6927</c:v>
                </c:pt>
                <c:pt idx="7">
                  <c:v>3824</c:v>
                </c:pt>
                <c:pt idx="8">
                  <c:v>15307</c:v>
                </c:pt>
                <c:pt idx="9">
                  <c:v>10659</c:v>
                </c:pt>
                <c:pt idx="10">
                  <c:v>10154</c:v>
                </c:pt>
                <c:pt idx="11">
                  <c:v>11600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F3A5F"/>
                    </a:solidFill>
                    <a:prstDash val="solid"/>
                  </a:ln>
                </c14:spPr>
              </c14:invertSolidFillFmt>
            </c:ext>
            <c:ext xmlns:c16="http://schemas.microsoft.com/office/drawing/2014/chart" uri="{C3380CC4-5D6E-409C-BE32-E72D297353CC}">
              <c16:uniqueId val="{00000000-7514-48EF-B91A-8404E1F1C692}"/>
            </c:ext>
          </c:extLst>
        </c:ser>
        <c:ser>
          <c:idx val="1"/>
          <c:order val="1"/>
          <c:tx>
            <c:strRef>
              <c:f>SALES_DASHBOARD!$G$10</c:f>
              <c:strCache>
                <c:ptCount val="1"/>
                <c:pt idx="0">
                  <c:v>Pending</c:v>
                </c:pt>
              </c:strCache>
            </c:strRef>
          </c:tx>
          <c:spPr>
            <a:solidFill>
              <a:srgbClr val="E9A23B"/>
            </a:solidFill>
            <a:ln>
              <a:solidFill>
                <a:srgbClr val="E9A23B"/>
              </a:solidFill>
              <a:prstDash val="solid"/>
            </a:ln>
          </c:spPr>
          <c:invertIfNegative val="1"/>
          <c:cat>
            <c:numRef>
              <c:f>SALES_DASHBOARD!$B$11:$B$22</c:f>
              <c:numCache>
                <c:formatCode>mmm\ yyyy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SALES_DASHBOARD!$G$11:$G$22</c:f>
              <c:numCache>
                <c:formatCode>\$#,##0;\(\$#,##0\);"-"</c:formatCode>
                <c:ptCount val="12"/>
                <c:pt idx="0">
                  <c:v>0</c:v>
                </c:pt>
                <c:pt idx="1">
                  <c:v>0</c:v>
                </c:pt>
                <c:pt idx="2">
                  <c:v>0</c:v>
                </c:pt>
                <c:pt idx="3">
                  <c:v>0</c:v>
                </c:pt>
                <c:pt idx="4">
                  <c:v>0</c:v>
                </c:pt>
                <c:pt idx="5">
                  <c:v>0</c:v>
                </c:pt>
                <c:pt idx="6">
                  <c:v>0</c:v>
                </c:pt>
                <c:pt idx="7">
                  <c:v>5580</c:v>
                </c:pt>
                <c:pt idx="8">
                  <c:v>3240</c:v>
                </c:pt>
                <c:pt idx="9">
                  <c:v>1440</c:v>
                </c:pt>
                <c:pt idx="10">
                  <c:v>2600</c:v>
                </c:pt>
                <c:pt idx="11">
                  <c:v>4310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9A23B"/>
                    </a:solidFill>
                    <a:prstDash val="solid"/>
                  </a:ln>
                </c14:spPr>
              </c14:invertSolidFillFmt>
            </c:ext>
            <c:ext xmlns:c16="http://schemas.microsoft.com/office/drawing/2014/chart" uri="{C3380CC4-5D6E-409C-BE32-E72D297353CC}">
              <c16:uniqueId val="{00000001-7514-48EF-B91A-8404E1F1C692}"/>
            </c:ext>
          </c:extLst>
        </c:ser>
        <c:dLbls>
          <c:showLegendKey val="0"/>
          <c:showVal val="0"/>
          <c:showCatName val="0"/>
          <c:showSerName val="0"/>
          <c:showPercent val="0"/>
          <c:showBubbleSize val="0"/>
        </c:dLbls>
        <c:gapWidth val="60"/>
        <c:overlap val="100"/>
        <c:axId val="10"/>
        <c:axId val="100"/>
      </c:barChart>
      <c:dateAx>
        <c:axId val="10"/>
        <c:scaling>
          <c:orientation val="minMax"/>
        </c:scaling>
        <c:delete val="0"/>
        <c:axPos val="b"/>
        <c:numFmt formatCode="mmm\ yy" sourceLinked="0"/>
        <c:majorTickMark val="none"/>
        <c:minorTickMark val="none"/>
        <c:tickLblPos val="nextTo"/>
        <c:spPr>
          <a:ln>
            <a:solidFill>
              <a:srgbClr val="9CA3AF"/>
            </a:solidFill>
            <a:prstDash val="solid"/>
          </a:ln>
        </c:spPr>
        <c:txPr>
          <a:bodyPr/>
          <a:lstStyle/>
          <a:p>
            <a:pPr>
              <a:defRPr sz="900" b="0">
                <a:solidFill>
                  <a:srgbClr val="4B5563"/>
                </a:solidFill>
                <a:latin typeface="Arial"/>
              </a:defRPr>
            </a:pPr>
            <a:endParaRPr lang="en-US"/>
          </a:p>
        </c:txPr>
        <c:crossAx val="100"/>
        <c:crosses val="autoZero"/>
        <c:auto val="1"/>
        <c:lblOffset val="100"/>
        <c:baseTimeUnit val="months"/>
      </c:dateAx>
      <c:valAx>
        <c:axId val="100"/>
        <c:scaling>
          <c:orientation val="minMax"/>
        </c:scaling>
        <c:delete val="0"/>
        <c:axPos val="l"/>
        <c:majorGridlines>
          <c:spPr>
            <a:ln>
              <a:solidFill>
                <a:srgbClr val="E5E7EB"/>
              </a:solidFill>
              <a:prstDash val="solid"/>
            </a:ln>
          </c:spPr>
        </c:majorGridlines>
        <c:numFmt formatCode="\$#,##0" sourceLinked="0"/>
        <c:majorTickMark val="none"/>
        <c:minorTickMark val="none"/>
        <c:tickLblPos val="nextTo"/>
        <c:spPr>
          <a:ln>
            <a:noFill/>
            <a:prstDash val="solid"/>
          </a:ln>
        </c:spPr>
        <c:txPr>
          <a:bodyPr/>
          <a:lstStyle/>
          <a:p>
            <a:pPr>
              <a:defRPr sz="900" b="0">
                <a:solidFill>
                  <a:srgbClr val="4B5563"/>
                </a:solidFill>
                <a:latin typeface="Arial"/>
              </a:defRPr>
            </a:pPr>
            <a:endParaRPr lang="en-US"/>
          </a:p>
        </c:txPr>
        <c:crossAx val="10"/>
        <c:crosses val="autoZero"/>
        <c:crossBetween val="between"/>
      </c:valAx>
    </c:plotArea>
    <c:legend>
      <c:legendPos val="b"/>
      <c:overlay val="1"/>
      <c:txPr>
        <a:bodyPr/>
        <a:lstStyle/>
        <a:p>
          <a:pPr>
            <a:defRPr sz="900" b="0">
              <a:solidFill>
                <a:srgbClr val="4B5563"/>
              </a:solidFill>
              <a:latin typeface="Arial"/>
            </a:defRPr>
          </a:pPr>
          <a:endParaRPr lang="en-US"/>
        </a:p>
      </c:txPr>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1F3A5F"/>
                </a:solidFill>
                <a:latin typeface="Arial"/>
              </a:defRPr>
            </a:pPr>
            <a:r>
              <a:rPr sz="1100" b="1">
                <a:solidFill>
                  <a:srgbClr val="1F3A5F"/>
                </a:solidFill>
                <a:latin typeface="Arial"/>
              </a:rPr>
              <a:t>Revenue by product</a:t>
            </a:r>
          </a:p>
        </c:rich>
      </c:tx>
      <c:overlay val="0"/>
    </c:title>
    <c:autoTitleDeleted val="0"/>
    <c:plotArea>
      <c:layout/>
      <c:barChart>
        <c:barDir val="bar"/>
        <c:grouping val="clustered"/>
        <c:varyColors val="1"/>
        <c:ser>
          <c:idx val="0"/>
          <c:order val="0"/>
          <c:tx>
            <c:strRef>
              <c:f>SALES_DASHBOARD!$E$27</c:f>
              <c:strCache>
                <c:ptCount val="1"/>
                <c:pt idx="0">
                  <c:v>Revenue</c:v>
                </c:pt>
              </c:strCache>
            </c:strRef>
          </c:tx>
          <c:spPr>
            <a:solidFill>
              <a:srgbClr val="1F3A5F"/>
            </a:solidFill>
            <a:ln>
              <a:solidFill>
                <a:srgbClr val="1F3A5F"/>
              </a:solidFill>
              <a:prstDash val="solid"/>
            </a:ln>
          </c:spPr>
          <c:invertIfNegative val="1"/>
          <c:cat>
            <c:strRef>
              <c:f>SALES_DASHBOARD!$B$28:$B$35</c:f>
              <c:strCache>
                <c:ptCount val="8"/>
                <c:pt idx="0">
                  <c:v>Starter Template Pack</c:v>
                </c:pt>
                <c:pt idx="1">
                  <c:v>Pro Dashboard Suite</c:v>
                </c:pt>
                <c:pt idx="2">
                  <c:v>Strategy Session (1 hr)</c:v>
                </c:pt>
                <c:pt idx="3">
                  <c:v>Monthly Advisory Retainer</c:v>
                </c:pt>
                <c:pt idx="4">
                  <c:v>Excel Workshop (Team)</c:v>
                </c:pt>
                <c:pt idx="5">
                  <c:v>Online Course Seat</c:v>
                </c:pt>
                <c:pt idx="6">
                  <c:v>Setup &amp; Onboarding</c:v>
                </c:pt>
                <c:pt idx="7">
                  <c:v>Priority Support Plan</c:v>
                </c:pt>
              </c:strCache>
            </c:strRef>
          </c:cat>
          <c:val>
            <c:numRef>
              <c:f>SALES_DASHBOARD!$E$28:$E$35</c:f>
              <c:numCache>
                <c:formatCode>\$#,##0;\(\$#,##0\);"-"</c:formatCode>
                <c:ptCount val="8"/>
                <c:pt idx="0">
                  <c:v>3871</c:v>
                </c:pt>
                <c:pt idx="1">
                  <c:v>5215</c:v>
                </c:pt>
                <c:pt idx="2">
                  <c:v>13140</c:v>
                </c:pt>
                <c:pt idx="3">
                  <c:v>20800</c:v>
                </c:pt>
                <c:pt idx="4">
                  <c:v>30600</c:v>
                </c:pt>
                <c:pt idx="5">
                  <c:v>20520</c:v>
                </c:pt>
                <c:pt idx="6">
                  <c:v>8400</c:v>
                </c:pt>
                <c:pt idx="7">
                  <c:v>27360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F3A5F"/>
                    </a:solidFill>
                    <a:prstDash val="solid"/>
                  </a:ln>
                </c14:spPr>
              </c14:invertSolidFillFmt>
            </c:ext>
            <c:ext xmlns:c16="http://schemas.microsoft.com/office/drawing/2014/chart" uri="{C3380CC4-5D6E-409C-BE32-E72D297353CC}">
              <c16:uniqueId val="{00000000-90C3-4424-9D2C-5F305B9DC4F9}"/>
            </c:ext>
          </c:extLst>
        </c:ser>
        <c:dLbls>
          <c:showLegendKey val="0"/>
          <c:showVal val="0"/>
          <c:showCatName val="0"/>
          <c:showSerName val="0"/>
          <c:showPercent val="0"/>
          <c:showBubbleSize val="0"/>
        </c:dLbls>
        <c:gapWidth val="50"/>
        <c:axId val="10"/>
        <c:axId val="100"/>
      </c:barChart>
      <c:catAx>
        <c:axId val="10"/>
        <c:scaling>
          <c:orientation val="maxMin"/>
        </c:scaling>
        <c:delete val="0"/>
        <c:axPos val="l"/>
        <c:numFmt formatCode="General" sourceLinked="1"/>
        <c:majorTickMark val="none"/>
        <c:minorTickMark val="none"/>
        <c:tickLblPos val="nextTo"/>
        <c:spPr>
          <a:ln>
            <a:solidFill>
              <a:srgbClr val="9CA3AF"/>
            </a:solidFill>
            <a:prstDash val="solid"/>
          </a:ln>
        </c:spPr>
        <c:txPr>
          <a:bodyPr/>
          <a:lstStyle/>
          <a:p>
            <a:pPr>
              <a:defRPr sz="900" b="0">
                <a:solidFill>
                  <a:srgbClr val="4B5563"/>
                </a:solidFill>
                <a:latin typeface="Arial"/>
              </a:defRPr>
            </a:pPr>
            <a:endParaRPr lang="en-US"/>
          </a:p>
        </c:txPr>
        <c:crossAx val="100"/>
        <c:crosses val="autoZero"/>
        <c:auto val="1"/>
        <c:lblAlgn val="ctr"/>
        <c:lblOffset val="100"/>
        <c:noMultiLvlLbl val="1"/>
      </c:catAx>
      <c:valAx>
        <c:axId val="100"/>
        <c:scaling>
          <c:orientation val="minMax"/>
        </c:scaling>
        <c:delete val="0"/>
        <c:axPos val="b"/>
        <c:majorGridlines>
          <c:spPr>
            <a:ln>
              <a:solidFill>
                <a:srgbClr val="E5E7EB"/>
              </a:solidFill>
              <a:prstDash val="solid"/>
            </a:ln>
          </c:spPr>
        </c:majorGridlines>
        <c:numFmt formatCode="\$#,##0" sourceLinked="0"/>
        <c:majorTickMark val="none"/>
        <c:minorTickMark val="none"/>
        <c:tickLblPos val="nextTo"/>
        <c:spPr>
          <a:ln>
            <a:noFill/>
            <a:prstDash val="solid"/>
          </a:ln>
        </c:spPr>
        <c:txPr>
          <a:bodyPr/>
          <a:lstStyle/>
          <a:p>
            <a:pPr>
              <a:defRPr sz="900" b="0">
                <a:solidFill>
                  <a:srgbClr val="4B5563"/>
                </a:solidFill>
                <a:latin typeface="Arial"/>
              </a:defRPr>
            </a:pPr>
            <a:endParaRPr lang="en-US"/>
          </a:p>
        </c:txPr>
        <c:crossAx val="10"/>
        <c:crosses val="max"/>
        <c:crossBetween val="between"/>
      </c:valAx>
    </c:plotArea>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1F3A5F"/>
                </a:solidFill>
                <a:latin typeface="Arial"/>
              </a:defRPr>
            </a:pPr>
            <a:r>
              <a:rPr sz="1100" b="1">
                <a:solidFill>
                  <a:srgbClr val="1F3A5F"/>
                </a:solidFill>
                <a:latin typeface="Arial"/>
              </a:rPr>
              <a:t>Revenue share by category</a:t>
            </a:r>
          </a:p>
        </c:rich>
      </c:tx>
      <c:overlay val="0"/>
    </c:title>
    <c:autoTitleDeleted val="0"/>
    <c:plotArea>
      <c:layout/>
      <c:doughnutChart>
        <c:varyColors val="1"/>
        <c:ser>
          <c:idx val="0"/>
          <c:order val="0"/>
          <c:tx>
            <c:strRef>
              <c:f>SALES_DASHBOARD!$E$41</c:f>
              <c:strCache>
                <c:ptCount val="1"/>
                <c:pt idx="0">
                  <c:v>Revenue</c:v>
                </c:pt>
              </c:strCache>
            </c:strRef>
          </c:tx>
          <c:spPr>
            <a:ln>
              <a:prstDash val="solid"/>
            </a:ln>
          </c:spPr>
          <c:dPt>
            <c:idx val="0"/>
            <c:bubble3D val="0"/>
            <c:spPr>
              <a:solidFill>
                <a:srgbClr val="1F3A5F"/>
              </a:solidFill>
              <a:ln>
                <a:prstDash val="solid"/>
              </a:ln>
            </c:spPr>
            <c:extLst>
              <c:ext xmlns:c16="http://schemas.microsoft.com/office/drawing/2014/chart" uri="{C3380CC4-5D6E-409C-BE32-E72D297353CC}">
                <c16:uniqueId val="{00000001-ACFC-44C1-915D-1B60B2EF8500}"/>
              </c:ext>
            </c:extLst>
          </c:dPt>
          <c:dPt>
            <c:idx val="1"/>
            <c:bubble3D val="0"/>
            <c:spPr>
              <a:solidFill>
                <a:srgbClr val="2A9D8F"/>
              </a:solidFill>
              <a:ln>
                <a:prstDash val="solid"/>
              </a:ln>
            </c:spPr>
            <c:extLst>
              <c:ext xmlns:c16="http://schemas.microsoft.com/office/drawing/2014/chart" uri="{C3380CC4-5D6E-409C-BE32-E72D297353CC}">
                <c16:uniqueId val="{00000003-ACFC-44C1-915D-1B60B2EF8500}"/>
              </c:ext>
            </c:extLst>
          </c:dPt>
          <c:dPt>
            <c:idx val="2"/>
            <c:bubble3D val="0"/>
            <c:spPr>
              <a:solidFill>
                <a:srgbClr val="E9A23B"/>
              </a:solidFill>
              <a:ln>
                <a:prstDash val="solid"/>
              </a:ln>
            </c:spPr>
            <c:extLst>
              <c:ext xmlns:c16="http://schemas.microsoft.com/office/drawing/2014/chart" uri="{C3380CC4-5D6E-409C-BE32-E72D297353CC}">
                <c16:uniqueId val="{00000005-ACFC-44C1-915D-1B60B2EF8500}"/>
              </c:ext>
            </c:extLst>
          </c:dPt>
          <c:dPt>
            <c:idx val="3"/>
            <c:bubble3D val="0"/>
            <c:spPr>
              <a:solidFill>
                <a:srgbClr val="6B7A90"/>
              </a:solidFill>
              <a:ln>
                <a:prstDash val="solid"/>
              </a:ln>
            </c:spPr>
            <c:extLst>
              <c:ext xmlns:c16="http://schemas.microsoft.com/office/drawing/2014/chart" uri="{C3380CC4-5D6E-409C-BE32-E72D297353CC}">
                <c16:uniqueId val="{00000007-ACFC-44C1-915D-1B60B2EF8500}"/>
              </c:ext>
            </c:extLst>
          </c:dPt>
          <c:dLbls>
            <c:spPr>
              <a:noFill/>
              <a:ln>
                <a:noFill/>
              </a:ln>
              <a:effectLst/>
            </c:spPr>
            <c:txPr>
              <a:bodyPr/>
              <a:lstStyle/>
              <a:p>
                <a:pPr>
                  <a:defRPr sz="900" b="1">
                    <a:solidFill>
                      <a:srgbClr val="FFFFFF"/>
                    </a:solidFill>
                    <a:latin typeface="Arial"/>
                  </a:defRPr>
                </a:pPr>
                <a:endParaRPr lang="en-US"/>
              </a:p>
            </c:txPr>
            <c:showLegendKey val="1"/>
            <c:showVal val="0"/>
            <c:showCatName val="0"/>
            <c:showSerName val="0"/>
            <c:showPercent val="1"/>
            <c:showBubbleSize val="1"/>
            <c:showLeaderLines val="0"/>
            <c:extLst>
              <c:ext xmlns:c15="http://schemas.microsoft.com/office/drawing/2012/chart" uri="{CE6537A1-D6FC-4f65-9D91-7224C49458BB}"/>
            </c:extLst>
          </c:dLbls>
          <c:cat>
            <c:strRef>
              <c:f>SALES_DASHBOARD!$B$42:$B$45</c:f>
              <c:strCache>
                <c:ptCount val="4"/>
                <c:pt idx="0">
                  <c:v>Digital Products</c:v>
                </c:pt>
                <c:pt idx="1">
                  <c:v>Consulting</c:v>
                </c:pt>
                <c:pt idx="2">
                  <c:v>Training</c:v>
                </c:pt>
                <c:pt idx="3">
                  <c:v>Support Plans</c:v>
                </c:pt>
              </c:strCache>
            </c:strRef>
          </c:cat>
          <c:val>
            <c:numRef>
              <c:f>SALES_DASHBOARD!$E$42:$E$45</c:f>
              <c:numCache>
                <c:formatCode>\$#,##0;\(\$#,##0\);"-"</c:formatCode>
                <c:ptCount val="4"/>
                <c:pt idx="0">
                  <c:v>9086</c:v>
                </c:pt>
                <c:pt idx="1">
                  <c:v>33940</c:v>
                </c:pt>
                <c:pt idx="2">
                  <c:v>51120</c:v>
                </c:pt>
                <c:pt idx="3">
                  <c:v>35760</c:v>
                </c:pt>
              </c:numCache>
            </c:numRef>
          </c:val>
          <c:extLst>
            <c:ext xmlns:c16="http://schemas.microsoft.com/office/drawing/2014/chart" uri="{C3380CC4-5D6E-409C-BE32-E72D297353CC}">
              <c16:uniqueId val="{00000008-ACFC-44C1-915D-1B60B2EF8500}"/>
            </c:ext>
          </c:extLst>
        </c:ser>
        <c:dLbls>
          <c:showLegendKey val="1"/>
          <c:showVal val="0"/>
          <c:showCatName val="0"/>
          <c:showSerName val="0"/>
          <c:showPercent val="1"/>
          <c:showBubbleSize val="1"/>
          <c:showLeaderLines val="0"/>
        </c:dLbls>
        <c:firstSliceAng val="0"/>
        <c:holeSize val="55"/>
      </c:doughnutChart>
    </c:plotArea>
    <c:legend>
      <c:legendPos val="b"/>
      <c:overlay val="1"/>
      <c:txPr>
        <a:bodyPr/>
        <a:lstStyle/>
        <a:p>
          <a:pPr>
            <a:defRPr sz="900" b="0">
              <a:solidFill>
                <a:srgbClr val="4B5563"/>
              </a:solidFill>
              <a:latin typeface="Arial"/>
            </a:defRPr>
          </a:pPr>
          <a:endParaRPr lang="en-US"/>
        </a:p>
      </c:txPr>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1F3A5F"/>
                </a:solidFill>
                <a:latin typeface="Arial"/>
              </a:defRPr>
            </a:pPr>
            <a:r>
              <a:rPr sz="1100" b="1">
                <a:solidFill>
                  <a:srgbClr val="1F3A5F"/>
                </a:solidFill>
                <a:latin typeface="Arial"/>
              </a:rPr>
              <a:t>Orders by status</a:t>
            </a:r>
          </a:p>
        </c:rich>
      </c:tx>
      <c:overlay val="0"/>
    </c:title>
    <c:autoTitleDeleted val="0"/>
    <c:plotArea>
      <c:layout/>
      <c:barChart>
        <c:barDir val="col"/>
        <c:grouping val="clustered"/>
        <c:varyColors val="1"/>
        <c:ser>
          <c:idx val="0"/>
          <c:order val="0"/>
          <c:tx>
            <c:strRef>
              <c:f>SALES_DASHBOARD!$D$56</c:f>
              <c:strCache>
                <c:ptCount val="1"/>
                <c:pt idx="0">
                  <c:v>Orders</c:v>
                </c:pt>
              </c:strCache>
            </c:strRef>
          </c:tx>
          <c:spPr>
            <a:solidFill>
              <a:srgbClr val="2A9D8F"/>
            </a:solidFill>
            <a:ln>
              <a:solidFill>
                <a:srgbClr val="2A9D8F"/>
              </a:solidFill>
              <a:prstDash val="solid"/>
            </a:ln>
          </c:spPr>
          <c:invertIfNegative val="1"/>
          <c:cat>
            <c:strRef>
              <c:f>SALES_DASHBOARD!$B$57:$B$60</c:f>
              <c:strCache>
                <c:ptCount val="4"/>
                <c:pt idx="0">
                  <c:v>Delivered</c:v>
                </c:pt>
                <c:pt idx="1">
                  <c:v>Shipped</c:v>
                </c:pt>
                <c:pt idx="2">
                  <c:v>Processing</c:v>
                </c:pt>
                <c:pt idx="3">
                  <c:v>Cancelled</c:v>
                </c:pt>
              </c:strCache>
            </c:strRef>
          </c:cat>
          <c:val>
            <c:numRef>
              <c:f>SALES_DASHBOARD!$D$57:$D$60</c:f>
              <c:numCache>
                <c:formatCode>#,##0</c:formatCode>
                <c:ptCount val="4"/>
                <c:pt idx="0">
                  <c:v>152</c:v>
                </c:pt>
                <c:pt idx="1">
                  <c:v>3</c:v>
                </c:pt>
                <c:pt idx="2">
                  <c:v>6</c:v>
                </c:pt>
                <c:pt idx="3">
                  <c:v>8</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A9D8F"/>
                    </a:solidFill>
                    <a:prstDash val="solid"/>
                  </a:ln>
                </c14:spPr>
              </c14:invertSolidFillFmt>
            </c:ext>
            <c:ext xmlns:c16="http://schemas.microsoft.com/office/drawing/2014/chart" uri="{C3380CC4-5D6E-409C-BE32-E72D297353CC}">
              <c16:uniqueId val="{00000000-11F3-4E62-AFF2-DA0DEFABAFCD}"/>
            </c:ext>
          </c:extLst>
        </c:ser>
        <c:dLbls>
          <c:showLegendKey val="0"/>
          <c:showVal val="0"/>
          <c:showCatName val="0"/>
          <c:showSerName val="0"/>
          <c:showPercent val="0"/>
          <c:showBubbleSize val="0"/>
        </c:dLbls>
        <c:gapWidth val="70"/>
        <c:axId val="10"/>
        <c:axId val="100"/>
      </c:barChart>
      <c:catAx>
        <c:axId val="10"/>
        <c:scaling>
          <c:orientation val="minMax"/>
        </c:scaling>
        <c:delete val="0"/>
        <c:axPos val="b"/>
        <c:numFmt formatCode="General" sourceLinked="1"/>
        <c:majorTickMark val="none"/>
        <c:minorTickMark val="none"/>
        <c:tickLblPos val="nextTo"/>
        <c:spPr>
          <a:ln>
            <a:solidFill>
              <a:srgbClr val="9CA3AF"/>
            </a:solidFill>
            <a:prstDash val="solid"/>
          </a:ln>
        </c:spPr>
        <c:txPr>
          <a:bodyPr/>
          <a:lstStyle/>
          <a:p>
            <a:pPr>
              <a:defRPr sz="900" b="0">
                <a:solidFill>
                  <a:srgbClr val="4B5563"/>
                </a:solidFill>
                <a:latin typeface="Aria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E5E7EB"/>
              </a:solidFill>
              <a:prstDash val="solid"/>
            </a:ln>
          </c:spPr>
        </c:majorGridlines>
        <c:numFmt formatCode="#,##0" sourceLinked="0"/>
        <c:majorTickMark val="none"/>
        <c:minorTickMark val="none"/>
        <c:tickLblPos val="nextTo"/>
        <c:spPr>
          <a:ln>
            <a:noFill/>
            <a:prstDash val="solid"/>
          </a:ln>
        </c:spPr>
        <c:txPr>
          <a:bodyPr/>
          <a:lstStyle/>
          <a:p>
            <a:pPr>
              <a:defRPr sz="900" b="0">
                <a:solidFill>
                  <a:srgbClr val="4B5563"/>
                </a:solidFill>
                <a:latin typeface="Arial"/>
              </a:defRPr>
            </a:pPr>
            <a:endParaRPr lang="en-US"/>
          </a:p>
        </c:txPr>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1F3A5F"/>
                </a:solidFill>
                <a:latin typeface="Arial"/>
              </a:defRPr>
            </a:pPr>
            <a:r>
              <a:rPr sz="1100" b="1">
                <a:solidFill>
                  <a:srgbClr val="1F3A5F"/>
                </a:solidFill>
                <a:latin typeface="Arial"/>
              </a:rPr>
              <a:t>Expenses by category</a:t>
            </a:r>
          </a:p>
        </c:rich>
      </c:tx>
      <c:overlay val="0"/>
    </c:title>
    <c:autoTitleDeleted val="0"/>
    <c:plotArea>
      <c:layout/>
      <c:barChart>
        <c:barDir val="bar"/>
        <c:grouping val="clustered"/>
        <c:varyColors val="1"/>
        <c:ser>
          <c:idx val="0"/>
          <c:order val="0"/>
          <c:tx>
            <c:strRef>
              <c:f>EXPENSES!$L$8</c:f>
              <c:strCache>
                <c:ptCount val="1"/>
                <c:pt idx="0">
                  <c:v>Total</c:v>
                </c:pt>
              </c:strCache>
            </c:strRef>
          </c:tx>
          <c:spPr>
            <a:solidFill>
              <a:srgbClr val="2A9D8F"/>
            </a:solidFill>
            <a:ln>
              <a:solidFill>
                <a:srgbClr val="2A9D8F"/>
              </a:solidFill>
              <a:prstDash val="solid"/>
            </a:ln>
          </c:spPr>
          <c:invertIfNegative val="1"/>
          <c:cat>
            <c:strRef>
              <c:f>EXPENSES!$K$9:$K$16</c:f>
              <c:strCache>
                <c:ptCount val="8"/>
                <c:pt idx="0">
                  <c:v>Rent &amp; Utilities</c:v>
                </c:pt>
                <c:pt idx="1">
                  <c:v>Software &amp; Subscriptions</c:v>
                </c:pt>
                <c:pt idx="2">
                  <c:v>Marketing &amp; Advertising</c:v>
                </c:pt>
                <c:pt idx="3">
                  <c:v>Payroll &amp; Contractors</c:v>
                </c:pt>
                <c:pt idx="4">
                  <c:v>Office &amp; Supplies</c:v>
                </c:pt>
                <c:pt idx="5">
                  <c:v>Travel &amp; Meals</c:v>
                </c:pt>
                <c:pt idx="6">
                  <c:v>Professional Services</c:v>
                </c:pt>
                <c:pt idx="7">
                  <c:v>Taxes &amp; Fees</c:v>
                </c:pt>
              </c:strCache>
            </c:strRef>
          </c:cat>
          <c:val>
            <c:numRef>
              <c:f>EXPENSES!$L$9:$L$16</c:f>
              <c:numCache>
                <c:formatCode>\$#,##0;\(\$#,##0\);"-"</c:formatCode>
                <c:ptCount val="8"/>
                <c:pt idx="0">
                  <c:v>21266.43</c:v>
                </c:pt>
                <c:pt idx="1">
                  <c:v>3600</c:v>
                </c:pt>
                <c:pt idx="2">
                  <c:v>9980.34</c:v>
                </c:pt>
                <c:pt idx="3">
                  <c:v>45450</c:v>
                </c:pt>
                <c:pt idx="4">
                  <c:v>1475.58</c:v>
                </c:pt>
                <c:pt idx="5">
                  <c:v>2850.84</c:v>
                </c:pt>
                <c:pt idx="6">
                  <c:v>2880</c:v>
                </c:pt>
                <c:pt idx="7">
                  <c:v>8860.7199999999993</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A9D8F"/>
                    </a:solidFill>
                    <a:prstDash val="solid"/>
                  </a:ln>
                </c14:spPr>
              </c14:invertSolidFillFmt>
            </c:ext>
            <c:ext xmlns:c16="http://schemas.microsoft.com/office/drawing/2014/chart" uri="{C3380CC4-5D6E-409C-BE32-E72D297353CC}">
              <c16:uniqueId val="{00000000-0FBB-4D63-A2A2-9B3141ED7BAC}"/>
            </c:ext>
          </c:extLst>
        </c:ser>
        <c:dLbls>
          <c:showLegendKey val="0"/>
          <c:showVal val="0"/>
          <c:showCatName val="0"/>
          <c:showSerName val="0"/>
          <c:showPercent val="0"/>
          <c:showBubbleSize val="0"/>
        </c:dLbls>
        <c:gapWidth val="50"/>
        <c:axId val="10"/>
        <c:axId val="100"/>
      </c:barChart>
      <c:catAx>
        <c:axId val="10"/>
        <c:scaling>
          <c:orientation val="maxMin"/>
        </c:scaling>
        <c:delete val="0"/>
        <c:axPos val="l"/>
        <c:numFmt formatCode="General" sourceLinked="1"/>
        <c:majorTickMark val="none"/>
        <c:minorTickMark val="none"/>
        <c:tickLblPos val="nextTo"/>
        <c:spPr>
          <a:ln>
            <a:solidFill>
              <a:srgbClr val="9CA3AF"/>
            </a:solidFill>
            <a:prstDash val="solid"/>
          </a:ln>
        </c:spPr>
        <c:txPr>
          <a:bodyPr/>
          <a:lstStyle/>
          <a:p>
            <a:pPr>
              <a:defRPr sz="900" b="0">
                <a:solidFill>
                  <a:srgbClr val="4B5563"/>
                </a:solidFill>
                <a:latin typeface="Arial"/>
              </a:defRPr>
            </a:pPr>
            <a:endParaRPr lang="en-US"/>
          </a:p>
        </c:txPr>
        <c:crossAx val="100"/>
        <c:crosses val="autoZero"/>
        <c:auto val="1"/>
        <c:lblAlgn val="ctr"/>
        <c:lblOffset val="100"/>
        <c:noMultiLvlLbl val="1"/>
      </c:catAx>
      <c:valAx>
        <c:axId val="100"/>
        <c:scaling>
          <c:orientation val="minMax"/>
        </c:scaling>
        <c:delete val="0"/>
        <c:axPos val="b"/>
        <c:majorGridlines>
          <c:spPr>
            <a:ln>
              <a:solidFill>
                <a:srgbClr val="E5E7EB"/>
              </a:solidFill>
              <a:prstDash val="solid"/>
            </a:ln>
          </c:spPr>
        </c:majorGridlines>
        <c:numFmt formatCode="\$#,##0" sourceLinked="0"/>
        <c:majorTickMark val="none"/>
        <c:minorTickMark val="none"/>
        <c:tickLblPos val="nextTo"/>
        <c:spPr>
          <a:ln>
            <a:noFill/>
            <a:prstDash val="solid"/>
          </a:ln>
        </c:spPr>
        <c:txPr>
          <a:bodyPr/>
          <a:lstStyle/>
          <a:p>
            <a:pPr>
              <a:defRPr sz="900" b="0">
                <a:solidFill>
                  <a:srgbClr val="4B5563"/>
                </a:solidFill>
                <a:latin typeface="Arial"/>
              </a:defRPr>
            </a:pPr>
            <a:endParaRPr lang="en-US"/>
          </a:p>
        </c:txPr>
        <c:crossAx val="10"/>
        <c:crosses val="max"/>
        <c:crossBetween val="between"/>
      </c:valAx>
    </c:plotArea>
    <c:plotVisOnly val="1"/>
    <c:dispBlanksAs val="gap"/>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1F3A5F"/>
                </a:solidFill>
                <a:latin typeface="Arial"/>
              </a:defRPr>
            </a:pPr>
            <a:r>
              <a:rPr sz="1100" b="1">
                <a:solidFill>
                  <a:srgbClr val="1F3A5F"/>
                </a:solidFill>
                <a:latin typeface="Arial"/>
              </a:rPr>
              <a:t>Monthly expenses: paid vs pending</a:t>
            </a:r>
          </a:p>
        </c:rich>
      </c:tx>
      <c:overlay val="0"/>
    </c:title>
    <c:autoTitleDeleted val="0"/>
    <c:plotArea>
      <c:layout/>
      <c:barChart>
        <c:barDir val="col"/>
        <c:grouping val="stacked"/>
        <c:varyColors val="1"/>
        <c:ser>
          <c:idx val="0"/>
          <c:order val="0"/>
          <c:tx>
            <c:strRef>
              <c:f>EXPENSES!$M$20</c:f>
              <c:strCache>
                <c:ptCount val="1"/>
                <c:pt idx="0">
                  <c:v>Paid</c:v>
                </c:pt>
              </c:strCache>
            </c:strRef>
          </c:tx>
          <c:spPr>
            <a:solidFill>
              <a:srgbClr val="2A9D8F"/>
            </a:solidFill>
            <a:ln>
              <a:solidFill>
                <a:srgbClr val="2A9D8F"/>
              </a:solidFill>
              <a:prstDash val="solid"/>
            </a:ln>
          </c:spPr>
          <c:invertIfNegative val="1"/>
          <c:cat>
            <c:numRef>
              <c:f>EXPENSES!$K$21:$K$32</c:f>
              <c:numCache>
                <c:formatCode>mmm\ yyyy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EXPENSES!$M$21:$M$32</c:f>
              <c:numCache>
                <c:formatCode>\$#,##0;\(\$#,##0\);"-"</c:formatCode>
                <c:ptCount val="12"/>
                <c:pt idx="0">
                  <c:v>7768.02</c:v>
                </c:pt>
                <c:pt idx="1">
                  <c:v>7155.12</c:v>
                </c:pt>
                <c:pt idx="2">
                  <c:v>9389.9199999999983</c:v>
                </c:pt>
                <c:pt idx="3">
                  <c:v>7362.17</c:v>
                </c:pt>
                <c:pt idx="4">
                  <c:v>8305.57</c:v>
                </c:pt>
                <c:pt idx="5">
                  <c:v>9134.369999999999</c:v>
                </c:pt>
                <c:pt idx="6">
                  <c:v>7384.89</c:v>
                </c:pt>
                <c:pt idx="7">
                  <c:v>7526.6100000000006</c:v>
                </c:pt>
                <c:pt idx="8">
                  <c:v>8951.7000000000007</c:v>
                </c:pt>
                <c:pt idx="9">
                  <c:v>7528.57</c:v>
                </c:pt>
                <c:pt idx="10">
                  <c:v>7448.35</c:v>
                </c:pt>
                <c:pt idx="11">
                  <c:v>3876.8500000000004</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A9D8F"/>
                    </a:solidFill>
                    <a:prstDash val="solid"/>
                  </a:ln>
                </c14:spPr>
              </c14:invertSolidFillFmt>
            </c:ext>
            <c:ext xmlns:c16="http://schemas.microsoft.com/office/drawing/2014/chart" uri="{C3380CC4-5D6E-409C-BE32-E72D297353CC}">
              <c16:uniqueId val="{00000000-044F-4153-BEEF-FA41B397A665}"/>
            </c:ext>
          </c:extLst>
        </c:ser>
        <c:ser>
          <c:idx val="1"/>
          <c:order val="1"/>
          <c:tx>
            <c:strRef>
              <c:f>EXPENSES!$N$20</c:f>
              <c:strCache>
                <c:ptCount val="1"/>
                <c:pt idx="0">
                  <c:v>Pending</c:v>
                </c:pt>
              </c:strCache>
            </c:strRef>
          </c:tx>
          <c:spPr>
            <a:solidFill>
              <a:srgbClr val="E9A23B"/>
            </a:solidFill>
            <a:ln>
              <a:solidFill>
                <a:srgbClr val="E9A23B"/>
              </a:solidFill>
              <a:prstDash val="solid"/>
            </a:ln>
          </c:spPr>
          <c:invertIfNegative val="1"/>
          <c:cat>
            <c:numRef>
              <c:f>EXPENSES!$K$21:$K$32</c:f>
              <c:numCache>
                <c:formatCode>mmm\ yyyy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EXPENSES!$N$21:$N$32</c:f>
              <c:numCache>
                <c:formatCode>\$#,##0;\(\$#,##0\);"-"</c:formatCode>
                <c:ptCount val="12"/>
                <c:pt idx="0">
                  <c:v>0</c:v>
                </c:pt>
                <c:pt idx="1">
                  <c:v>0</c:v>
                </c:pt>
                <c:pt idx="2">
                  <c:v>0</c:v>
                </c:pt>
                <c:pt idx="3">
                  <c:v>0</c:v>
                </c:pt>
                <c:pt idx="4">
                  <c:v>0</c:v>
                </c:pt>
                <c:pt idx="5">
                  <c:v>0</c:v>
                </c:pt>
                <c:pt idx="6">
                  <c:v>0</c:v>
                </c:pt>
                <c:pt idx="7">
                  <c:v>0</c:v>
                </c:pt>
                <c:pt idx="8">
                  <c:v>0</c:v>
                </c:pt>
                <c:pt idx="9">
                  <c:v>0</c:v>
                </c:pt>
                <c:pt idx="10">
                  <c:v>0</c:v>
                </c:pt>
                <c:pt idx="11">
                  <c:v>4531.7700000000004</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9A23B"/>
                    </a:solidFill>
                    <a:prstDash val="solid"/>
                  </a:ln>
                </c14:spPr>
              </c14:invertSolidFillFmt>
            </c:ext>
            <c:ext xmlns:c16="http://schemas.microsoft.com/office/drawing/2014/chart" uri="{C3380CC4-5D6E-409C-BE32-E72D297353CC}">
              <c16:uniqueId val="{00000001-044F-4153-BEEF-FA41B397A665}"/>
            </c:ext>
          </c:extLst>
        </c:ser>
        <c:dLbls>
          <c:showLegendKey val="0"/>
          <c:showVal val="0"/>
          <c:showCatName val="0"/>
          <c:showSerName val="0"/>
          <c:showPercent val="0"/>
          <c:showBubbleSize val="0"/>
        </c:dLbls>
        <c:gapWidth val="60"/>
        <c:overlap val="100"/>
        <c:axId val="10"/>
        <c:axId val="100"/>
      </c:barChart>
      <c:dateAx>
        <c:axId val="10"/>
        <c:scaling>
          <c:orientation val="minMax"/>
        </c:scaling>
        <c:delete val="0"/>
        <c:axPos val="b"/>
        <c:numFmt formatCode="mmm\ yy" sourceLinked="0"/>
        <c:majorTickMark val="none"/>
        <c:minorTickMark val="none"/>
        <c:tickLblPos val="nextTo"/>
        <c:spPr>
          <a:ln>
            <a:solidFill>
              <a:srgbClr val="9CA3AF"/>
            </a:solidFill>
            <a:prstDash val="solid"/>
          </a:ln>
        </c:spPr>
        <c:txPr>
          <a:bodyPr/>
          <a:lstStyle/>
          <a:p>
            <a:pPr>
              <a:defRPr sz="900" b="0">
                <a:solidFill>
                  <a:srgbClr val="4B5563"/>
                </a:solidFill>
                <a:latin typeface="Arial"/>
              </a:defRPr>
            </a:pPr>
            <a:endParaRPr lang="en-US"/>
          </a:p>
        </c:txPr>
        <c:crossAx val="100"/>
        <c:crosses val="autoZero"/>
        <c:auto val="1"/>
        <c:lblOffset val="100"/>
        <c:baseTimeUnit val="months"/>
      </c:dateAx>
      <c:valAx>
        <c:axId val="100"/>
        <c:scaling>
          <c:orientation val="minMax"/>
        </c:scaling>
        <c:delete val="0"/>
        <c:axPos val="l"/>
        <c:majorGridlines>
          <c:spPr>
            <a:ln>
              <a:solidFill>
                <a:srgbClr val="E5E7EB"/>
              </a:solidFill>
              <a:prstDash val="solid"/>
            </a:ln>
          </c:spPr>
        </c:majorGridlines>
        <c:numFmt formatCode="\$#,##0" sourceLinked="0"/>
        <c:majorTickMark val="none"/>
        <c:minorTickMark val="none"/>
        <c:tickLblPos val="nextTo"/>
        <c:spPr>
          <a:ln>
            <a:noFill/>
            <a:prstDash val="solid"/>
          </a:ln>
        </c:spPr>
        <c:txPr>
          <a:bodyPr/>
          <a:lstStyle/>
          <a:p>
            <a:pPr>
              <a:defRPr sz="900" b="0">
                <a:solidFill>
                  <a:srgbClr val="4B5563"/>
                </a:solidFill>
                <a:latin typeface="Arial"/>
              </a:defRPr>
            </a:pPr>
            <a:endParaRPr lang="en-US"/>
          </a:p>
        </c:txPr>
        <c:crossAx val="10"/>
        <c:crosses val="autoZero"/>
        <c:crossBetween val="between"/>
      </c:valAx>
    </c:plotArea>
    <c:legend>
      <c:legendPos val="b"/>
      <c:overlay val="1"/>
      <c:txPr>
        <a:bodyPr/>
        <a:lstStyle/>
        <a:p>
          <a:pPr>
            <a:defRPr sz="900" b="0">
              <a:solidFill>
                <a:srgbClr val="4B5563"/>
              </a:solidFill>
              <a:latin typeface="Arial"/>
            </a:defRPr>
          </a:pPr>
          <a:endParaRPr lang="en-US"/>
        </a:p>
      </c:txPr>
    </c:legend>
    <c:plotVisOnly val="1"/>
    <c:dispBlanksAs val="gap"/>
    <c:showDLblsOverMax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1F3A5F"/>
                </a:solidFill>
                <a:latin typeface="Arial"/>
              </a:defRPr>
            </a:pPr>
            <a:r>
              <a:rPr sz="1100" b="1">
                <a:solidFill>
                  <a:srgbClr val="1F3A5F"/>
                </a:solidFill>
                <a:latin typeface="Arial"/>
              </a:rPr>
              <a:t>Unpaid invoices by aging</a:t>
            </a:r>
          </a:p>
        </c:rich>
      </c:tx>
      <c:overlay val="0"/>
    </c:title>
    <c:autoTitleDeleted val="0"/>
    <c:plotArea>
      <c:layout/>
      <c:barChart>
        <c:barDir val="col"/>
        <c:grouping val="clustered"/>
        <c:varyColors val="1"/>
        <c:ser>
          <c:idx val="0"/>
          <c:order val="0"/>
          <c:tx>
            <c:strRef>
              <c:f>INVOICES!$O$15</c:f>
              <c:strCache>
                <c:ptCount val="1"/>
                <c:pt idx="0">
                  <c:v>Amount</c:v>
                </c:pt>
              </c:strCache>
            </c:strRef>
          </c:tx>
          <c:spPr>
            <a:solidFill>
              <a:srgbClr val="1F3A5F"/>
            </a:solidFill>
            <a:ln>
              <a:solidFill>
                <a:srgbClr val="1F3A5F"/>
              </a:solidFill>
              <a:prstDash val="solid"/>
            </a:ln>
          </c:spPr>
          <c:invertIfNegative val="1"/>
          <c:dPt>
            <c:idx val="0"/>
            <c:invertIfNegative val="1"/>
            <c:bubble3D val="0"/>
            <c:spPr>
              <a:solidFill>
                <a:srgbClr val="2A9D8F"/>
              </a:solidFill>
              <a:ln>
                <a:prstDash val="solid"/>
              </a:ln>
            </c:spPr>
            <c:extLst>
              <c:ext xmlns:c16="http://schemas.microsoft.com/office/drawing/2014/chart" uri="{C3380CC4-5D6E-409C-BE32-E72D297353CC}">
                <c16:uniqueId val="{00000001-1B32-4F4C-9337-FCF03D52FB35}"/>
              </c:ext>
            </c:extLst>
          </c:dPt>
          <c:dPt>
            <c:idx val="1"/>
            <c:invertIfNegative val="1"/>
            <c:bubble3D val="0"/>
            <c:spPr>
              <a:solidFill>
                <a:srgbClr val="E9A23B"/>
              </a:solidFill>
              <a:ln>
                <a:prstDash val="solid"/>
              </a:ln>
            </c:spPr>
            <c:extLst>
              <c:ext xmlns:c16="http://schemas.microsoft.com/office/drawing/2014/chart" uri="{C3380CC4-5D6E-409C-BE32-E72D297353CC}">
                <c16:uniqueId val="{00000003-1B32-4F4C-9337-FCF03D52FB35}"/>
              </c:ext>
            </c:extLst>
          </c:dPt>
          <c:dPt>
            <c:idx val="2"/>
            <c:invertIfNegative val="1"/>
            <c:bubble3D val="0"/>
            <c:spPr>
              <a:solidFill>
                <a:srgbClr val="D1603D"/>
              </a:solidFill>
              <a:ln>
                <a:prstDash val="solid"/>
              </a:ln>
            </c:spPr>
            <c:extLst>
              <c:ext xmlns:c16="http://schemas.microsoft.com/office/drawing/2014/chart" uri="{C3380CC4-5D6E-409C-BE32-E72D297353CC}">
                <c16:uniqueId val="{00000005-1B32-4F4C-9337-FCF03D52FB35}"/>
              </c:ext>
            </c:extLst>
          </c:dPt>
          <c:dPt>
            <c:idx val="3"/>
            <c:invertIfNegative val="1"/>
            <c:bubble3D val="0"/>
            <c:spPr>
              <a:solidFill>
                <a:srgbClr val="D1603D"/>
              </a:solidFill>
              <a:ln>
                <a:prstDash val="solid"/>
              </a:ln>
            </c:spPr>
            <c:extLst>
              <c:ext xmlns:c16="http://schemas.microsoft.com/office/drawing/2014/chart" uri="{C3380CC4-5D6E-409C-BE32-E72D297353CC}">
                <c16:uniqueId val="{00000007-1B32-4F4C-9337-FCF03D52FB35}"/>
              </c:ext>
            </c:extLst>
          </c:dPt>
          <c:dPt>
            <c:idx val="4"/>
            <c:invertIfNegative val="1"/>
            <c:bubble3D val="0"/>
            <c:spPr>
              <a:solidFill>
                <a:srgbClr val="9B2C2C"/>
              </a:solidFill>
              <a:ln>
                <a:prstDash val="solid"/>
              </a:ln>
            </c:spPr>
            <c:extLst>
              <c:ext xmlns:c16="http://schemas.microsoft.com/office/drawing/2014/chart" uri="{C3380CC4-5D6E-409C-BE32-E72D297353CC}">
                <c16:uniqueId val="{00000009-1B32-4F4C-9337-FCF03D52FB35}"/>
              </c:ext>
            </c:extLst>
          </c:dPt>
          <c:cat>
            <c:strRef>
              <c:f>INVOICES!$M$16:$M$20</c:f>
              <c:strCache>
                <c:ptCount val="5"/>
                <c:pt idx="0">
                  <c:v>Not yet due</c:v>
                </c:pt>
                <c:pt idx="1">
                  <c:v>1-30 days overdue</c:v>
                </c:pt>
                <c:pt idx="2">
                  <c:v>31-60 days overdue</c:v>
                </c:pt>
                <c:pt idx="3">
                  <c:v>61-90 days overdue</c:v>
                </c:pt>
                <c:pt idx="4">
                  <c:v>Over 90 days overdue</c:v>
                </c:pt>
              </c:strCache>
            </c:strRef>
          </c:cat>
          <c:val>
            <c:numRef>
              <c:f>INVOICES!$O$16:$O$20</c:f>
              <c:numCache>
                <c:formatCode>\$#,##0;\(\$#,##0\);"-"</c:formatCode>
                <c:ptCount val="5"/>
                <c:pt idx="0">
                  <c:v>3240</c:v>
                </c:pt>
                <c:pt idx="1">
                  <c:v>2600</c:v>
                </c:pt>
                <c:pt idx="2">
                  <c:v>1440</c:v>
                </c:pt>
                <c:pt idx="3">
                  <c:v>3240</c:v>
                </c:pt>
                <c:pt idx="4">
                  <c:v>5580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F3A5F"/>
                    </a:solidFill>
                    <a:prstDash val="solid"/>
                  </a:ln>
                </c14:spPr>
              </c14:invertSolidFillFmt>
            </c:ext>
            <c:ext xmlns:c16="http://schemas.microsoft.com/office/drawing/2014/chart" uri="{C3380CC4-5D6E-409C-BE32-E72D297353CC}">
              <c16:uniqueId val="{0000000A-1B32-4F4C-9337-FCF03D52FB35}"/>
            </c:ext>
          </c:extLst>
        </c:ser>
        <c:dLbls>
          <c:showLegendKey val="0"/>
          <c:showVal val="0"/>
          <c:showCatName val="0"/>
          <c:showSerName val="0"/>
          <c:showPercent val="0"/>
          <c:showBubbleSize val="0"/>
        </c:dLbls>
        <c:gapWidth val="60"/>
        <c:axId val="10"/>
        <c:axId val="100"/>
      </c:barChart>
      <c:catAx>
        <c:axId val="10"/>
        <c:scaling>
          <c:orientation val="minMax"/>
        </c:scaling>
        <c:delete val="0"/>
        <c:axPos val="b"/>
        <c:numFmt formatCode="General" sourceLinked="1"/>
        <c:majorTickMark val="none"/>
        <c:minorTickMark val="none"/>
        <c:tickLblPos val="nextTo"/>
        <c:spPr>
          <a:ln>
            <a:solidFill>
              <a:srgbClr val="9CA3AF"/>
            </a:solidFill>
            <a:prstDash val="solid"/>
          </a:ln>
        </c:spPr>
        <c:txPr>
          <a:bodyPr/>
          <a:lstStyle/>
          <a:p>
            <a:pPr>
              <a:defRPr sz="900" b="0">
                <a:solidFill>
                  <a:srgbClr val="4B5563"/>
                </a:solidFill>
                <a:latin typeface="Aria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E5E7EB"/>
              </a:solidFill>
              <a:prstDash val="solid"/>
            </a:ln>
          </c:spPr>
        </c:majorGridlines>
        <c:numFmt formatCode="\$#,##0" sourceLinked="0"/>
        <c:majorTickMark val="none"/>
        <c:minorTickMark val="none"/>
        <c:tickLblPos val="nextTo"/>
        <c:spPr>
          <a:ln>
            <a:noFill/>
            <a:prstDash val="solid"/>
          </a:ln>
        </c:spPr>
        <c:txPr>
          <a:bodyPr/>
          <a:lstStyle/>
          <a:p>
            <a:pPr>
              <a:defRPr sz="900" b="0">
                <a:solidFill>
                  <a:srgbClr val="4B5563"/>
                </a:solidFill>
                <a:latin typeface="Arial"/>
              </a:defRPr>
            </a:pPr>
            <a:endParaRPr lang="en-US"/>
          </a:p>
        </c:txPr>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1F3A5F"/>
                </a:solidFill>
                <a:latin typeface="Arial"/>
              </a:defRPr>
            </a:pPr>
            <a:r>
              <a:rPr sz="1100" b="1">
                <a:solidFill>
                  <a:srgbClr val="1F3A5F"/>
                </a:solidFill>
                <a:latin typeface="Arial"/>
              </a:rPr>
              <a:t>Leads by stage</a:t>
            </a:r>
          </a:p>
        </c:rich>
      </c:tx>
      <c:overlay val="0"/>
    </c:title>
    <c:autoTitleDeleted val="0"/>
    <c:plotArea>
      <c:layout/>
      <c:barChart>
        <c:barDir val="col"/>
        <c:grouping val="clustered"/>
        <c:varyColors val="1"/>
        <c:ser>
          <c:idx val="0"/>
          <c:order val="0"/>
          <c:tx>
            <c:strRef>
              <c:f>CRM!$O$8</c:f>
              <c:strCache>
                <c:ptCount val="1"/>
                <c:pt idx="0">
                  <c:v>Leads</c:v>
                </c:pt>
              </c:strCache>
            </c:strRef>
          </c:tx>
          <c:spPr>
            <a:solidFill>
              <a:srgbClr val="1F3A5F"/>
            </a:solidFill>
            <a:ln>
              <a:solidFill>
                <a:srgbClr val="1F3A5F"/>
              </a:solidFill>
              <a:prstDash val="solid"/>
            </a:ln>
          </c:spPr>
          <c:invertIfNegative val="1"/>
          <c:dPt>
            <c:idx val="0"/>
            <c:invertIfNegative val="1"/>
            <c:bubble3D val="0"/>
            <c:spPr>
              <a:solidFill>
                <a:srgbClr val="8FB3D9"/>
              </a:solidFill>
              <a:ln>
                <a:prstDash val="solid"/>
              </a:ln>
            </c:spPr>
            <c:extLst>
              <c:ext xmlns:c16="http://schemas.microsoft.com/office/drawing/2014/chart" uri="{C3380CC4-5D6E-409C-BE32-E72D297353CC}">
                <c16:uniqueId val="{00000001-FD38-41A6-A0DB-9AF0502C446D}"/>
              </c:ext>
            </c:extLst>
          </c:dPt>
          <c:dPt>
            <c:idx val="1"/>
            <c:invertIfNegative val="1"/>
            <c:bubble3D val="0"/>
            <c:spPr>
              <a:solidFill>
                <a:srgbClr val="2A9D8F"/>
              </a:solidFill>
              <a:ln>
                <a:prstDash val="solid"/>
              </a:ln>
            </c:spPr>
            <c:extLst>
              <c:ext xmlns:c16="http://schemas.microsoft.com/office/drawing/2014/chart" uri="{C3380CC4-5D6E-409C-BE32-E72D297353CC}">
                <c16:uniqueId val="{00000003-FD38-41A6-A0DB-9AF0502C446D}"/>
              </c:ext>
            </c:extLst>
          </c:dPt>
          <c:dPt>
            <c:idx val="2"/>
            <c:invertIfNegative val="1"/>
            <c:bubble3D val="0"/>
            <c:spPr>
              <a:solidFill>
                <a:srgbClr val="E9A23B"/>
              </a:solidFill>
              <a:ln>
                <a:prstDash val="solid"/>
              </a:ln>
            </c:spPr>
            <c:extLst>
              <c:ext xmlns:c16="http://schemas.microsoft.com/office/drawing/2014/chart" uri="{C3380CC4-5D6E-409C-BE32-E72D297353CC}">
                <c16:uniqueId val="{00000005-FD38-41A6-A0DB-9AF0502C446D}"/>
              </c:ext>
            </c:extLst>
          </c:dPt>
          <c:dPt>
            <c:idx val="3"/>
            <c:invertIfNegative val="1"/>
            <c:bubble3D val="0"/>
            <c:spPr>
              <a:solidFill>
                <a:srgbClr val="1F3A5F"/>
              </a:solidFill>
              <a:ln>
                <a:prstDash val="solid"/>
              </a:ln>
            </c:spPr>
            <c:extLst>
              <c:ext xmlns:c16="http://schemas.microsoft.com/office/drawing/2014/chart" uri="{C3380CC4-5D6E-409C-BE32-E72D297353CC}">
                <c16:uniqueId val="{00000007-FD38-41A6-A0DB-9AF0502C446D}"/>
              </c:ext>
            </c:extLst>
          </c:dPt>
          <c:dPt>
            <c:idx val="4"/>
            <c:invertIfNegative val="1"/>
            <c:bubble3D val="0"/>
            <c:spPr>
              <a:solidFill>
                <a:srgbClr val="9CA3AF"/>
              </a:solidFill>
              <a:ln>
                <a:prstDash val="solid"/>
              </a:ln>
            </c:spPr>
            <c:extLst>
              <c:ext xmlns:c16="http://schemas.microsoft.com/office/drawing/2014/chart" uri="{C3380CC4-5D6E-409C-BE32-E72D297353CC}">
                <c16:uniqueId val="{00000009-FD38-41A6-A0DB-9AF0502C446D}"/>
              </c:ext>
            </c:extLst>
          </c:dPt>
          <c:cat>
            <c:strRef>
              <c:f>CRM!$N$9:$N$13</c:f>
              <c:strCache>
                <c:ptCount val="5"/>
                <c:pt idx="0">
                  <c:v>New</c:v>
                </c:pt>
                <c:pt idx="1">
                  <c:v>Qualified</c:v>
                </c:pt>
                <c:pt idx="2">
                  <c:v>Proposal</c:v>
                </c:pt>
                <c:pt idx="3">
                  <c:v>Won</c:v>
                </c:pt>
                <c:pt idx="4">
                  <c:v>Lost</c:v>
                </c:pt>
              </c:strCache>
            </c:strRef>
          </c:cat>
          <c:val>
            <c:numRef>
              <c:f>CRM!$O$9:$O$13</c:f>
              <c:numCache>
                <c:formatCode>#,##0</c:formatCode>
                <c:ptCount val="5"/>
                <c:pt idx="0">
                  <c:v>5</c:v>
                </c:pt>
                <c:pt idx="1">
                  <c:v>6</c:v>
                </c:pt>
                <c:pt idx="2">
                  <c:v>4</c:v>
                </c:pt>
                <c:pt idx="3">
                  <c:v>24</c:v>
                </c:pt>
                <c:pt idx="4">
                  <c:v>3</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F3A5F"/>
                    </a:solidFill>
                    <a:prstDash val="solid"/>
                  </a:ln>
                </c14:spPr>
              </c14:invertSolidFillFmt>
            </c:ext>
            <c:ext xmlns:c16="http://schemas.microsoft.com/office/drawing/2014/chart" uri="{C3380CC4-5D6E-409C-BE32-E72D297353CC}">
              <c16:uniqueId val="{0000000A-FD38-41A6-A0DB-9AF0502C446D}"/>
            </c:ext>
          </c:extLst>
        </c:ser>
        <c:dLbls>
          <c:showLegendKey val="0"/>
          <c:showVal val="0"/>
          <c:showCatName val="0"/>
          <c:showSerName val="0"/>
          <c:showPercent val="0"/>
          <c:showBubbleSize val="0"/>
        </c:dLbls>
        <c:gapWidth val="60"/>
        <c:axId val="10"/>
        <c:axId val="100"/>
      </c:barChart>
      <c:catAx>
        <c:axId val="10"/>
        <c:scaling>
          <c:orientation val="minMax"/>
        </c:scaling>
        <c:delete val="0"/>
        <c:axPos val="b"/>
        <c:numFmt formatCode="General" sourceLinked="1"/>
        <c:majorTickMark val="none"/>
        <c:minorTickMark val="none"/>
        <c:tickLblPos val="nextTo"/>
        <c:spPr>
          <a:ln>
            <a:solidFill>
              <a:srgbClr val="9CA3AF"/>
            </a:solidFill>
            <a:prstDash val="solid"/>
          </a:ln>
        </c:spPr>
        <c:txPr>
          <a:bodyPr/>
          <a:lstStyle/>
          <a:p>
            <a:pPr>
              <a:defRPr sz="900" b="0">
                <a:solidFill>
                  <a:srgbClr val="4B5563"/>
                </a:solidFill>
                <a:latin typeface="Aria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E5E7EB"/>
              </a:solidFill>
              <a:prstDash val="solid"/>
            </a:ln>
          </c:spPr>
        </c:majorGridlines>
        <c:numFmt formatCode="#,##0" sourceLinked="0"/>
        <c:majorTickMark val="none"/>
        <c:minorTickMark val="none"/>
        <c:tickLblPos val="nextTo"/>
        <c:spPr>
          <a:ln>
            <a:noFill/>
            <a:prstDash val="solid"/>
          </a:ln>
        </c:spPr>
        <c:txPr>
          <a:bodyPr/>
          <a:lstStyle/>
          <a:p>
            <a:pPr>
              <a:defRPr sz="900" b="0">
                <a:solidFill>
                  <a:srgbClr val="4B5563"/>
                </a:solidFill>
                <a:latin typeface="Arial"/>
              </a:defRPr>
            </a:pPr>
            <a:endParaRPr lang="en-US"/>
          </a:p>
        </c:txPr>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1F3A5F"/>
                </a:solidFill>
                <a:latin typeface="Arial"/>
              </a:defRPr>
            </a:pPr>
            <a:r>
              <a:rPr sz="1100" b="1">
                <a:solidFill>
                  <a:srgbClr val="1F3A5F"/>
                </a:solidFill>
                <a:latin typeface="Arial"/>
              </a:rPr>
              <a:t>Revenue vs expenses, with net revenue</a:t>
            </a:r>
          </a:p>
        </c:rich>
      </c:tx>
      <c:overlay val="0"/>
    </c:title>
    <c:autoTitleDeleted val="0"/>
    <c:plotArea>
      <c:layout/>
      <c:barChart>
        <c:barDir val="col"/>
        <c:grouping val="clustered"/>
        <c:varyColors val="1"/>
        <c:ser>
          <c:idx val="0"/>
          <c:order val="0"/>
          <c:tx>
            <c:strRef>
              <c:f>KPI_DASHBOARD!$D$14</c:f>
              <c:strCache>
                <c:ptCount val="1"/>
                <c:pt idx="0">
                  <c:v>Revenue</c:v>
                </c:pt>
              </c:strCache>
            </c:strRef>
          </c:tx>
          <c:spPr>
            <a:solidFill>
              <a:srgbClr val="1F3A5F"/>
            </a:solidFill>
            <a:ln>
              <a:solidFill>
                <a:srgbClr val="1F3A5F"/>
              </a:solidFill>
              <a:prstDash val="solid"/>
            </a:ln>
          </c:spPr>
          <c:invertIfNegative val="1"/>
          <c:cat>
            <c:numRef>
              <c:f>KPI_DASHBOARD!$B$15:$B$26</c:f>
              <c:numCache>
                <c:formatCode>mmm\ yyyy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KPI_DASHBOARD!$D$15:$D$26</c:f>
              <c:numCache>
                <c:formatCode>\$#,##0;\(\$#,##0\);"-"</c:formatCode>
                <c:ptCount val="12"/>
                <c:pt idx="0">
                  <c:v>6790</c:v>
                </c:pt>
                <c:pt idx="1">
                  <c:v>6703</c:v>
                </c:pt>
                <c:pt idx="2">
                  <c:v>11688</c:v>
                </c:pt>
                <c:pt idx="3">
                  <c:v>7783</c:v>
                </c:pt>
                <c:pt idx="4">
                  <c:v>8114</c:v>
                </c:pt>
                <c:pt idx="5">
                  <c:v>13187</c:v>
                </c:pt>
                <c:pt idx="6">
                  <c:v>6927</c:v>
                </c:pt>
                <c:pt idx="7">
                  <c:v>9404</c:v>
                </c:pt>
                <c:pt idx="8">
                  <c:v>18547</c:v>
                </c:pt>
                <c:pt idx="9">
                  <c:v>12099</c:v>
                </c:pt>
                <c:pt idx="10">
                  <c:v>12754</c:v>
                </c:pt>
                <c:pt idx="11">
                  <c:v>15910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F3A5F"/>
                    </a:solidFill>
                    <a:prstDash val="solid"/>
                  </a:ln>
                </c14:spPr>
              </c14:invertSolidFillFmt>
            </c:ext>
            <c:ext xmlns:c16="http://schemas.microsoft.com/office/drawing/2014/chart" uri="{C3380CC4-5D6E-409C-BE32-E72D297353CC}">
              <c16:uniqueId val="{00000000-EC38-4AF6-85A1-8E42B5FFD4DC}"/>
            </c:ext>
          </c:extLst>
        </c:ser>
        <c:ser>
          <c:idx val="1"/>
          <c:order val="1"/>
          <c:tx>
            <c:strRef>
              <c:f>KPI_DASHBOARD!$E$14</c:f>
              <c:strCache>
                <c:ptCount val="1"/>
                <c:pt idx="0">
                  <c:v>Expenses</c:v>
                </c:pt>
              </c:strCache>
            </c:strRef>
          </c:tx>
          <c:spPr>
            <a:solidFill>
              <a:srgbClr val="E9A23B"/>
            </a:solidFill>
            <a:ln>
              <a:solidFill>
                <a:srgbClr val="E9A23B"/>
              </a:solidFill>
              <a:prstDash val="solid"/>
            </a:ln>
          </c:spPr>
          <c:invertIfNegative val="1"/>
          <c:cat>
            <c:numRef>
              <c:f>KPI_DASHBOARD!$B$15:$B$26</c:f>
              <c:numCache>
                <c:formatCode>mmm\ yyyy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KPI_DASHBOARD!$E$15:$E$26</c:f>
              <c:numCache>
                <c:formatCode>\$#,##0;\(\$#,##0\);"-"</c:formatCode>
                <c:ptCount val="12"/>
                <c:pt idx="0">
                  <c:v>7768.02</c:v>
                </c:pt>
                <c:pt idx="1">
                  <c:v>7155.12</c:v>
                </c:pt>
                <c:pt idx="2">
                  <c:v>9389.9199999999983</c:v>
                </c:pt>
                <c:pt idx="3">
                  <c:v>7362.17</c:v>
                </c:pt>
                <c:pt idx="4">
                  <c:v>8305.57</c:v>
                </c:pt>
                <c:pt idx="5">
                  <c:v>9134.369999999999</c:v>
                </c:pt>
                <c:pt idx="6">
                  <c:v>7384.89</c:v>
                </c:pt>
                <c:pt idx="7">
                  <c:v>7526.6100000000006</c:v>
                </c:pt>
                <c:pt idx="8">
                  <c:v>8951.7000000000007</c:v>
                </c:pt>
                <c:pt idx="9">
                  <c:v>7528.57</c:v>
                </c:pt>
                <c:pt idx="10">
                  <c:v>7448.35</c:v>
                </c:pt>
                <c:pt idx="11">
                  <c:v>8408.619999999999</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9A23B"/>
                    </a:solidFill>
                    <a:prstDash val="solid"/>
                  </a:ln>
                </c14:spPr>
              </c14:invertSolidFillFmt>
            </c:ext>
            <c:ext xmlns:c16="http://schemas.microsoft.com/office/drawing/2014/chart" uri="{C3380CC4-5D6E-409C-BE32-E72D297353CC}">
              <c16:uniqueId val="{00000001-EC38-4AF6-85A1-8E42B5FFD4DC}"/>
            </c:ext>
          </c:extLst>
        </c:ser>
        <c:dLbls>
          <c:showLegendKey val="0"/>
          <c:showVal val="0"/>
          <c:showCatName val="0"/>
          <c:showSerName val="0"/>
          <c:showPercent val="0"/>
          <c:showBubbleSize val="0"/>
        </c:dLbls>
        <c:gapWidth val="60"/>
        <c:axId val="10"/>
        <c:axId val="100"/>
      </c:barChart>
      <c:lineChart>
        <c:grouping val="standard"/>
        <c:varyColors val="1"/>
        <c:ser>
          <c:idx val="2"/>
          <c:order val="2"/>
          <c:tx>
            <c:strRef>
              <c:f>KPI_DASHBOARD!$F$14</c:f>
              <c:strCache>
                <c:ptCount val="1"/>
                <c:pt idx="0">
                  <c:v>Net</c:v>
                </c:pt>
              </c:strCache>
            </c:strRef>
          </c:tx>
          <c:spPr>
            <a:ln w="28000">
              <a:solidFill>
                <a:srgbClr val="2A9D8F"/>
              </a:solidFill>
              <a:prstDash val="solid"/>
            </a:ln>
          </c:spPr>
          <c:marker>
            <c:symbol val="circle"/>
            <c:size val="5"/>
            <c:spPr>
              <a:solidFill>
                <a:srgbClr val="2A9D8F"/>
              </a:solidFill>
              <a:ln>
                <a:prstDash val="solid"/>
              </a:ln>
            </c:spPr>
          </c:marker>
          <c:val>
            <c:numRef>
              <c:f>KPI_DASHBOARD!$F$15:$F$26</c:f>
              <c:numCache>
                <c:formatCode>\$#,##0;[Red]\(\$#,##0\);"-"</c:formatCode>
                <c:ptCount val="12"/>
                <c:pt idx="0">
                  <c:v>-978.02000000000044</c:v>
                </c:pt>
                <c:pt idx="1">
                  <c:v>-452.11999999999989</c:v>
                </c:pt>
                <c:pt idx="2">
                  <c:v>2298.0800000000017</c:v>
                </c:pt>
                <c:pt idx="3">
                  <c:v>420.82999999999993</c:v>
                </c:pt>
                <c:pt idx="4">
                  <c:v>-191.56999999999971</c:v>
                </c:pt>
                <c:pt idx="5">
                  <c:v>4052.630000000001</c:v>
                </c:pt>
                <c:pt idx="6">
                  <c:v>-457.89000000000033</c:v>
                </c:pt>
                <c:pt idx="7">
                  <c:v>1877.3899999999994</c:v>
                </c:pt>
                <c:pt idx="8">
                  <c:v>9595.2999999999993</c:v>
                </c:pt>
                <c:pt idx="9">
                  <c:v>4570.43</c:v>
                </c:pt>
                <c:pt idx="10">
                  <c:v>5305.65</c:v>
                </c:pt>
                <c:pt idx="11">
                  <c:v>7501.380000000001</c:v>
                </c:pt>
              </c:numCache>
            </c:numRef>
          </c:val>
          <c:smooth val="0"/>
          <c:extLst>
            <c:ext xmlns:c16="http://schemas.microsoft.com/office/drawing/2014/chart" uri="{C3380CC4-5D6E-409C-BE32-E72D297353CC}">
              <c16:uniqueId val="{00000002-EC38-4AF6-85A1-8E42B5FFD4DC}"/>
            </c:ext>
          </c:extLst>
        </c:ser>
        <c:dLbls>
          <c:showLegendKey val="0"/>
          <c:showVal val="0"/>
          <c:showCatName val="0"/>
          <c:showSerName val="0"/>
          <c:showPercent val="0"/>
          <c:showBubbleSize val="0"/>
        </c:dLbls>
        <c:marker val="1"/>
        <c:smooth val="0"/>
        <c:axId val="10"/>
        <c:axId val="100"/>
      </c:lineChart>
      <c:dateAx>
        <c:axId val="10"/>
        <c:scaling>
          <c:orientation val="minMax"/>
        </c:scaling>
        <c:delete val="0"/>
        <c:axPos val="b"/>
        <c:numFmt formatCode="mmm\ yy" sourceLinked="0"/>
        <c:majorTickMark val="none"/>
        <c:minorTickMark val="none"/>
        <c:tickLblPos val="low"/>
        <c:spPr>
          <a:ln>
            <a:solidFill>
              <a:srgbClr val="9CA3AF"/>
            </a:solidFill>
            <a:prstDash val="solid"/>
          </a:ln>
        </c:spPr>
        <c:txPr>
          <a:bodyPr/>
          <a:lstStyle/>
          <a:p>
            <a:pPr>
              <a:defRPr sz="900" b="0">
                <a:solidFill>
                  <a:srgbClr val="4B5563"/>
                </a:solidFill>
                <a:latin typeface="Arial"/>
              </a:defRPr>
            </a:pPr>
            <a:endParaRPr lang="en-US"/>
          </a:p>
        </c:txPr>
        <c:crossAx val="100"/>
        <c:crosses val="autoZero"/>
        <c:auto val="1"/>
        <c:lblOffset val="100"/>
        <c:baseTimeUnit val="months"/>
      </c:dateAx>
      <c:valAx>
        <c:axId val="100"/>
        <c:scaling>
          <c:orientation val="minMax"/>
        </c:scaling>
        <c:delete val="0"/>
        <c:axPos val="l"/>
        <c:majorGridlines>
          <c:spPr>
            <a:ln>
              <a:solidFill>
                <a:srgbClr val="E5E7EB"/>
              </a:solidFill>
              <a:prstDash val="solid"/>
            </a:ln>
          </c:spPr>
        </c:majorGridlines>
        <c:numFmt formatCode="\$#,##0" sourceLinked="0"/>
        <c:majorTickMark val="none"/>
        <c:minorTickMark val="none"/>
        <c:tickLblPos val="nextTo"/>
        <c:spPr>
          <a:ln>
            <a:noFill/>
            <a:prstDash val="solid"/>
          </a:ln>
        </c:spPr>
        <c:txPr>
          <a:bodyPr/>
          <a:lstStyle/>
          <a:p>
            <a:pPr>
              <a:defRPr sz="900" b="0">
                <a:solidFill>
                  <a:srgbClr val="4B5563"/>
                </a:solidFill>
                <a:latin typeface="Arial"/>
              </a:defRPr>
            </a:pPr>
            <a:endParaRPr lang="en-US"/>
          </a:p>
        </c:txPr>
        <c:crossAx val="10"/>
        <c:crosses val="autoZero"/>
        <c:crossBetween val="between"/>
      </c:valAx>
    </c:plotArea>
    <c:legend>
      <c:legendPos val="b"/>
      <c:overlay val="1"/>
      <c:txPr>
        <a:bodyPr/>
        <a:lstStyle/>
        <a:p>
          <a:pPr>
            <a:defRPr sz="900" b="0">
              <a:solidFill>
                <a:srgbClr val="4B5563"/>
              </a:solidFill>
              <a:latin typeface="Arial"/>
            </a:defRPr>
          </a:pPr>
          <a:endParaRPr lang="en-US"/>
        </a:p>
      </c:txPr>
    </c:legend>
    <c:plotVisOnly val="1"/>
    <c:dispBlanksAs val="gap"/>
    <c:showDLblsOverMax val="1"/>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1F3A5F"/>
                </a:solidFill>
                <a:latin typeface="Arial"/>
              </a:defRPr>
            </a:pPr>
            <a:r>
              <a:rPr sz="1100" b="1">
                <a:solidFill>
                  <a:srgbClr val="1F3A5F"/>
                </a:solidFill>
                <a:latin typeface="Arial"/>
              </a:rPr>
              <a:t>Open pipeline value by stage</a:t>
            </a:r>
          </a:p>
        </c:rich>
      </c:tx>
      <c:overlay val="0"/>
    </c:title>
    <c:autoTitleDeleted val="0"/>
    <c:plotArea>
      <c:layout/>
      <c:barChart>
        <c:barDir val="col"/>
        <c:grouping val="clustered"/>
        <c:varyColors val="1"/>
        <c:ser>
          <c:idx val="0"/>
          <c:order val="0"/>
          <c:tx>
            <c:strRef>
              <c:f>CRM!$P$8</c:f>
              <c:strCache>
                <c:ptCount val="1"/>
                <c:pt idx="0">
                  <c:v>Value</c:v>
                </c:pt>
              </c:strCache>
            </c:strRef>
          </c:tx>
          <c:spPr>
            <a:solidFill>
              <a:srgbClr val="2A9D8F"/>
            </a:solidFill>
            <a:ln>
              <a:solidFill>
                <a:srgbClr val="2A9D8F"/>
              </a:solidFill>
              <a:prstDash val="solid"/>
            </a:ln>
          </c:spPr>
          <c:invertIfNegative val="1"/>
          <c:cat>
            <c:strRef>
              <c:f>CRM!$N$9:$N$11</c:f>
              <c:strCache>
                <c:ptCount val="3"/>
                <c:pt idx="0">
                  <c:v>New</c:v>
                </c:pt>
                <c:pt idx="1">
                  <c:v>Qualified</c:v>
                </c:pt>
                <c:pt idx="2">
                  <c:v>Proposal</c:v>
                </c:pt>
              </c:strCache>
            </c:strRef>
          </c:cat>
          <c:val>
            <c:numRef>
              <c:f>CRM!$P$9:$P$11</c:f>
              <c:numCache>
                <c:formatCode>\$#,##0;\(\$#,##0\);"-"</c:formatCode>
                <c:ptCount val="3"/>
                <c:pt idx="0">
                  <c:v>19100</c:v>
                </c:pt>
                <c:pt idx="1">
                  <c:v>49600</c:v>
                </c:pt>
                <c:pt idx="2">
                  <c:v>35200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A9D8F"/>
                    </a:solidFill>
                    <a:prstDash val="solid"/>
                  </a:ln>
                </c14:spPr>
              </c14:invertSolidFillFmt>
            </c:ext>
            <c:ext xmlns:c16="http://schemas.microsoft.com/office/drawing/2014/chart" uri="{C3380CC4-5D6E-409C-BE32-E72D297353CC}">
              <c16:uniqueId val="{00000000-4FEF-4003-B852-9A1EF409AD33}"/>
            </c:ext>
          </c:extLst>
        </c:ser>
        <c:dLbls>
          <c:showLegendKey val="0"/>
          <c:showVal val="0"/>
          <c:showCatName val="0"/>
          <c:showSerName val="0"/>
          <c:showPercent val="0"/>
          <c:showBubbleSize val="0"/>
        </c:dLbls>
        <c:gapWidth val="80"/>
        <c:axId val="10"/>
        <c:axId val="100"/>
      </c:barChart>
      <c:catAx>
        <c:axId val="10"/>
        <c:scaling>
          <c:orientation val="minMax"/>
        </c:scaling>
        <c:delete val="0"/>
        <c:axPos val="b"/>
        <c:numFmt formatCode="General" sourceLinked="1"/>
        <c:majorTickMark val="none"/>
        <c:minorTickMark val="none"/>
        <c:tickLblPos val="nextTo"/>
        <c:spPr>
          <a:ln>
            <a:solidFill>
              <a:srgbClr val="9CA3AF"/>
            </a:solidFill>
            <a:prstDash val="solid"/>
          </a:ln>
        </c:spPr>
        <c:txPr>
          <a:bodyPr/>
          <a:lstStyle/>
          <a:p>
            <a:pPr>
              <a:defRPr sz="900" b="0">
                <a:solidFill>
                  <a:srgbClr val="4B5563"/>
                </a:solidFill>
                <a:latin typeface="Aria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E5E7EB"/>
              </a:solidFill>
              <a:prstDash val="solid"/>
            </a:ln>
          </c:spPr>
        </c:majorGridlines>
        <c:numFmt formatCode="\$#,##0" sourceLinked="0"/>
        <c:majorTickMark val="none"/>
        <c:minorTickMark val="none"/>
        <c:tickLblPos val="nextTo"/>
        <c:spPr>
          <a:ln>
            <a:noFill/>
            <a:prstDash val="solid"/>
          </a:ln>
        </c:spPr>
        <c:txPr>
          <a:bodyPr/>
          <a:lstStyle/>
          <a:p>
            <a:pPr>
              <a:defRPr sz="900" b="0">
                <a:solidFill>
                  <a:srgbClr val="4B5563"/>
                </a:solidFill>
                <a:latin typeface="Arial"/>
              </a:defRPr>
            </a:pPr>
            <a:endParaRPr lang="en-US"/>
          </a:p>
        </c:txPr>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1F3A5F"/>
                </a:solidFill>
                <a:latin typeface="Arial"/>
              </a:defRPr>
            </a:pPr>
            <a:r>
              <a:rPr sz="1100" b="1">
                <a:solidFill>
                  <a:srgbClr val="1F3A5F"/>
                </a:solidFill>
                <a:latin typeface="Arial"/>
              </a:rPr>
              <a:t>Paid vs pending revenue</a:t>
            </a:r>
          </a:p>
        </c:rich>
      </c:tx>
      <c:overlay val="0"/>
    </c:title>
    <c:autoTitleDeleted val="0"/>
    <c:plotArea>
      <c:layout/>
      <c:doughnutChart>
        <c:varyColors val="1"/>
        <c:ser>
          <c:idx val="0"/>
          <c:order val="0"/>
          <c:tx>
            <c:strRef>
              <c:f>SALES_DASHBOARD!$E$48</c:f>
              <c:strCache>
                <c:ptCount val="1"/>
                <c:pt idx="0">
                  <c:v>Revenue</c:v>
                </c:pt>
              </c:strCache>
            </c:strRef>
          </c:tx>
          <c:spPr>
            <a:ln>
              <a:prstDash val="solid"/>
            </a:ln>
          </c:spPr>
          <c:dPt>
            <c:idx val="0"/>
            <c:bubble3D val="0"/>
            <c:spPr>
              <a:solidFill>
                <a:srgbClr val="1F3A5F"/>
              </a:solidFill>
              <a:ln>
                <a:prstDash val="solid"/>
              </a:ln>
            </c:spPr>
            <c:extLst>
              <c:ext xmlns:c16="http://schemas.microsoft.com/office/drawing/2014/chart" uri="{C3380CC4-5D6E-409C-BE32-E72D297353CC}">
                <c16:uniqueId val="{00000001-7CCD-4051-8A36-ED219F9F5ADC}"/>
              </c:ext>
            </c:extLst>
          </c:dPt>
          <c:dPt>
            <c:idx val="1"/>
            <c:bubble3D val="0"/>
            <c:spPr>
              <a:solidFill>
                <a:srgbClr val="E9A23B"/>
              </a:solidFill>
              <a:ln>
                <a:prstDash val="solid"/>
              </a:ln>
            </c:spPr>
            <c:extLst>
              <c:ext xmlns:c16="http://schemas.microsoft.com/office/drawing/2014/chart" uri="{C3380CC4-5D6E-409C-BE32-E72D297353CC}">
                <c16:uniqueId val="{00000003-7CCD-4051-8A36-ED219F9F5ADC}"/>
              </c:ext>
            </c:extLst>
          </c:dPt>
          <c:dLbls>
            <c:spPr>
              <a:noFill/>
              <a:ln>
                <a:noFill/>
              </a:ln>
              <a:effectLst/>
            </c:spPr>
            <c:txPr>
              <a:bodyPr/>
              <a:lstStyle/>
              <a:p>
                <a:pPr>
                  <a:defRPr sz="900" b="1">
                    <a:solidFill>
                      <a:srgbClr val="FFFFFF"/>
                    </a:solidFill>
                    <a:latin typeface="Arial"/>
                  </a:defRPr>
                </a:pPr>
                <a:endParaRPr lang="en-US"/>
              </a:p>
            </c:txPr>
            <c:showLegendKey val="1"/>
            <c:showVal val="0"/>
            <c:showCatName val="0"/>
            <c:showSerName val="0"/>
            <c:showPercent val="1"/>
            <c:showBubbleSize val="1"/>
            <c:showLeaderLines val="0"/>
            <c:extLst>
              <c:ext xmlns:c15="http://schemas.microsoft.com/office/drawing/2012/chart" uri="{CE6537A1-D6FC-4f65-9D91-7224C49458BB}"/>
            </c:extLst>
          </c:dLbls>
          <c:cat>
            <c:strRef>
              <c:f>SALES_DASHBOARD!$B$49:$B$50</c:f>
              <c:strCache>
                <c:ptCount val="2"/>
                <c:pt idx="0">
                  <c:v>Paid</c:v>
                </c:pt>
                <c:pt idx="1">
                  <c:v>Pending</c:v>
                </c:pt>
              </c:strCache>
            </c:strRef>
          </c:cat>
          <c:val>
            <c:numRef>
              <c:f>SALES_DASHBOARD!$E$49:$E$50</c:f>
              <c:numCache>
                <c:formatCode>\$#,##0;\(\$#,##0\);"-"</c:formatCode>
                <c:ptCount val="2"/>
                <c:pt idx="0">
                  <c:v>112736</c:v>
                </c:pt>
                <c:pt idx="1">
                  <c:v>17170</c:v>
                </c:pt>
              </c:numCache>
            </c:numRef>
          </c:val>
          <c:extLst>
            <c:ext xmlns:c16="http://schemas.microsoft.com/office/drawing/2014/chart" uri="{C3380CC4-5D6E-409C-BE32-E72D297353CC}">
              <c16:uniqueId val="{00000004-7CCD-4051-8A36-ED219F9F5ADC}"/>
            </c:ext>
          </c:extLst>
        </c:ser>
        <c:dLbls>
          <c:showLegendKey val="1"/>
          <c:showVal val="0"/>
          <c:showCatName val="0"/>
          <c:showSerName val="0"/>
          <c:showPercent val="1"/>
          <c:showBubbleSize val="1"/>
          <c:showLeaderLines val="0"/>
        </c:dLbls>
        <c:firstSliceAng val="0"/>
        <c:holeSize val="55"/>
      </c:doughnutChart>
    </c:plotArea>
    <c:legend>
      <c:legendPos val="b"/>
      <c:overlay val="1"/>
      <c:txPr>
        <a:bodyPr/>
        <a:lstStyle/>
        <a:p>
          <a:pPr>
            <a:defRPr sz="900" b="0">
              <a:solidFill>
                <a:srgbClr val="4B5563"/>
              </a:solidFill>
              <a:latin typeface="Arial"/>
            </a:defRPr>
          </a:pPr>
          <a:endParaRPr lang="en-US"/>
        </a:p>
      </c:txPr>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1" Type="http://schemas.openxmlformats.org/officeDocument/2006/relationships/chart" Target="../charts/chart8.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oneCellAnchor>
    <xdr:from>
      <xdr:col>8</xdr:col>
      <xdr:colOff>0</xdr:colOff>
      <xdr:row>9</xdr:row>
      <xdr:rowOff>0</xdr:rowOff>
    </xdr:from>
    <xdr:ext cx="4752000" cy="32508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26</xdr:row>
      <xdr:rowOff>0</xdr:rowOff>
    </xdr:from>
    <xdr:ext cx="4752000" cy="26424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40</xdr:row>
      <xdr:rowOff>0</xdr:rowOff>
    </xdr:from>
    <xdr:ext cx="4752000" cy="3250800"/>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8</xdr:col>
      <xdr:colOff>0</xdr:colOff>
      <xdr:row>55</xdr:row>
      <xdr:rowOff>0</xdr:rowOff>
    </xdr:from>
    <xdr:ext cx="4752000" cy="2437200"/>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10</xdr:col>
      <xdr:colOff>0</xdr:colOff>
      <xdr:row>35</xdr:row>
      <xdr:rowOff>0</xdr:rowOff>
    </xdr:from>
    <xdr:ext cx="5400000" cy="32508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10</xdr:col>
      <xdr:colOff>0</xdr:colOff>
      <xdr:row>53</xdr:row>
      <xdr:rowOff>0</xdr:rowOff>
    </xdr:from>
    <xdr:ext cx="5400000" cy="32508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23</xdr:row>
      <xdr:rowOff>0</xdr:rowOff>
    </xdr:from>
    <xdr:ext cx="5472000" cy="32508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13</xdr:col>
      <xdr:colOff>0</xdr:colOff>
      <xdr:row>26</xdr:row>
      <xdr:rowOff>0</xdr:rowOff>
    </xdr:from>
    <xdr:ext cx="4896000" cy="30492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8</xdr:col>
      <xdr:colOff>0</xdr:colOff>
      <xdr:row>13</xdr:row>
      <xdr:rowOff>0</xdr:rowOff>
    </xdr:from>
    <xdr:ext cx="4752000" cy="32508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45</xdr:row>
      <xdr:rowOff>0</xdr:rowOff>
    </xdr:from>
    <xdr:ext cx="5616000" cy="30492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7</xdr:col>
      <xdr:colOff>0</xdr:colOff>
      <xdr:row>45</xdr:row>
      <xdr:rowOff>0</xdr:rowOff>
    </xdr:from>
    <xdr:ext cx="5616000" cy="3049200"/>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Expenses" displayName="tblExpenses" ref="B8:I163">
  <autoFilter ref="B8:I163" xr:uid="{00000000-0009-0000-0100-000001000000}"/>
  <tableColumns count="8">
    <tableColumn id="1" xr3:uid="{00000000-0010-0000-0000-000001000000}" name="Date"/>
    <tableColumn id="2" xr3:uid="{00000000-0010-0000-0000-000002000000}" name="Vendor"/>
    <tableColumn id="3" xr3:uid="{00000000-0010-0000-0000-000003000000}" name="Category"/>
    <tableColumn id="4" xr3:uid="{00000000-0010-0000-0000-000004000000}" name="Description"/>
    <tableColumn id="5" xr3:uid="{00000000-0010-0000-0000-000005000000}" name="Amount"/>
    <tableColumn id="6" xr3:uid="{00000000-0010-0000-0000-000006000000}" name="Payment Status"/>
    <tableColumn id="7" xr3:uid="{00000000-0010-0000-0000-000007000000}" name="Payment Method"/>
    <tableColumn id="8" xr3:uid="{00000000-0010-0000-0000-000008000000}" name="Note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Invoices" displayName="tblInvoices" ref="B8:K89">
  <autoFilter ref="B8:K89" xr:uid="{00000000-0009-0000-0100-000002000000}"/>
  <tableColumns count="10">
    <tableColumn id="1" xr3:uid="{00000000-0010-0000-0100-000001000000}" name="Invoice Number"/>
    <tableColumn id="2" xr3:uid="{00000000-0010-0000-0100-000002000000}" name="Customer"/>
    <tableColumn id="3" xr3:uid="{00000000-0010-0000-0100-000003000000}" name="Description"/>
    <tableColumn id="4" xr3:uid="{00000000-0010-0000-0100-000004000000}" name="Invoice Date"/>
    <tableColumn id="5" xr3:uid="{00000000-0010-0000-0100-000005000000}" name="Due Date"/>
    <tableColumn id="6" xr3:uid="{00000000-0010-0000-0100-000006000000}" name="Amount"/>
    <tableColumn id="7" xr3:uid="{00000000-0010-0000-0100-000007000000}" name="Status"/>
    <tableColumn id="8" xr3:uid="{00000000-0010-0000-0100-000008000000}" name="Payment Date"/>
    <tableColumn id="9" xr3:uid="{00000000-0010-0000-0100-000009000000}" name="Notes"/>
    <tableColumn id="10" xr3:uid="{00000000-0010-0000-0100-00000A000000}" name="Days Overdue">
      <calculatedColumnFormula>IF(AND(tblInvoices[[#This Row],[Status]]="Pending",tblInvoices[[#This Row],[Due Date]]&lt;AsOfDate),AsOfDate-tblInvoices[[#This Row],[Due Date]],0)</calculatedColumnFormula>
    </tableColum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lCRM" displayName="tblCRM" ref="B8:L50">
  <autoFilter ref="B8:L50" xr:uid="{00000000-0009-0000-0100-000003000000}"/>
  <tableColumns count="11">
    <tableColumn id="1" xr3:uid="{00000000-0010-0000-0200-000001000000}" name="Name"/>
    <tableColumn id="2" xr3:uid="{00000000-0010-0000-0200-000002000000}" name="Company"/>
    <tableColumn id="3" xr3:uid="{00000000-0010-0000-0200-000003000000}" name="Email"/>
    <tableColumn id="4" xr3:uid="{00000000-0010-0000-0200-000004000000}" name="Phone"/>
    <tableColumn id="5" xr3:uid="{00000000-0010-0000-0200-000005000000}" name="Lead Source"/>
    <tableColumn id="6" xr3:uid="{00000000-0010-0000-0200-000006000000}" name="Stage"/>
    <tableColumn id="7" xr3:uid="{00000000-0010-0000-0200-000007000000}" name="Potential Value"/>
    <tableColumn id="8" xr3:uid="{00000000-0010-0000-0200-000008000000}" name="Last Contact"/>
    <tableColumn id="9" xr3:uid="{00000000-0010-0000-0200-000009000000}" name="Next Follow-up"/>
    <tableColumn id="10" xr3:uid="{00000000-0010-0000-0200-00000A000000}" name="Notes"/>
    <tableColumn id="11" xr3:uid="{00000000-0010-0000-0200-00000B000000}" name="Follow-up Status">
      <calculatedColumnFormula>IF(OR(tblCRM[[#This Row],[Stage]]="Won",tblCRM[[#This Row],[Stage]]="Lost"),"Closed",IF(tblCRM[[#This Row],[Next Follow-up]]="","No follow-up set",IF(tblCRM[[#This Row],[Next Follow-up]]&lt;AsOfDate,"Overdue",IF(tblCRM[[#This Row],[Next Follow-up]]-AsOfDate&lt;=7,"Due within 7 days","Scheduled"))))</calculatedColumnFormula>
    </tableColumn>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blCleaner" displayName="tblCleaner" ref="B8:L36">
  <autoFilter ref="B8:L36" xr:uid="{00000000-0009-0000-0100-000004000000}"/>
  <tableColumns count="11">
    <tableColumn id="1" xr3:uid="{00000000-0010-0000-0300-000001000000}" name="Raw Name"/>
    <tableColumn id="2" xr3:uid="{00000000-0010-0000-0300-000002000000}" name="Raw Email"/>
    <tableColumn id="3" xr3:uid="{00000000-0010-0000-0300-000003000000}" name="Raw Country"/>
    <tableColumn id="4" xr3:uid="{00000000-0010-0000-0300-000004000000}" name="Raw Phone"/>
    <tableColumn id="5" xr3:uid="{00000000-0010-0000-0300-000005000000}" name="Clean Name">
      <calculatedColumnFormula>PROPER(TRIM(CLEAN(tblCleaner[[#This Row],[Raw Name]])))</calculatedColumnFormula>
    </tableColumn>
    <tableColumn id="6" xr3:uid="{00000000-0010-0000-0300-000006000000}" name="Normalized Email">
      <calculatedColumnFormula>LOWER(TRIM(CLEAN(tblCleaner[[#This Row],[Raw Email]])))</calculatedColumnFormula>
    </tableColumn>
    <tableColumn id="7" xr3:uid="{00000000-0010-0000-0300-000007000000}" name="Standardized Country">
      <calculatedColumnFormula>IF(TRIM(tblCleaner[[#This Row],[Raw Country]])="","",IFERROR(INDEX(tblCountryMap[Standard Name],MATCH(TRIM(tblCleaner[[#This Row],[Raw Country]]),tblCountryMap[Variation],0)),PROPER(TRIM(tblCleaner[[#This Row],[Raw Country]]))))</calculatedColumnFormula>
    </tableColumn>
    <tableColumn id="8" xr3:uid="{00000000-0010-0000-0300-000008000000}" name="Clean Phone">
      <calculatedColumnFormula>IF(TRIM(tblCleaner[[#This Row],[Raw Phone]])="","",SUBSTITUTE(SUBSTITUTE(SUBSTITUTE(SUBSTITUTE(SUBSTITUTE(SUBSTITUTE(SUBSTITUTE(TRIM(tblCleaner[[#This Row],[Raw Phone]]),"(0)",""),"(",""),")",""),"-","")," ",""),".",""),"/",""))</calculatedColumnFormula>
    </tableColumn>
    <tableColumn id="9" xr3:uid="{00000000-0010-0000-0300-000009000000}" name="Missing Information Flag">
      <calculatedColumnFormula>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calculatedColumnFormula>
    </tableColumn>
    <tableColumn id="10" xr3:uid="{00000000-0010-0000-0300-00000A000000}" name="Duplicate Email Flag">
      <calculatedColumnFormula>IF(tblCleaner[[#This Row],[Normalized Email]]="","",IF(COUNTIF(tblCleaner[Normalized Email],tblCleaner[[#This Row],[Normalized Email]])&gt;1,"Duplicate","Unique"))</calculatedColumnFormula>
    </tableColumn>
    <tableColumn id="11" xr3:uid="{00000000-0010-0000-0300-00000B000000}" name="Email Format Check">
      <calculatedColumnFormula>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calculatedColumnFormula>
    </tableColumn>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blCountryMap" displayName="tblCountryMap" ref="N8:O61">
  <autoFilter ref="N8:O61" xr:uid="{00000000-0009-0000-0100-000005000000}"/>
  <tableColumns count="2">
    <tableColumn id="1" xr3:uid="{00000000-0010-0000-0400-000001000000}" name="Variation"/>
    <tableColumn id="2" xr3:uid="{00000000-0010-0000-0400-000002000000}" name="Standard Name"/>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blPrompts" displayName="tblPrompts" ref="B5:F51">
  <autoFilter ref="B5:F51" xr:uid="{00000000-0009-0000-0100-000006000000}"/>
  <tableColumns count="5">
    <tableColumn id="1" xr3:uid="{00000000-0010-0000-0500-000001000000}" name="ID"/>
    <tableColumn id="2" xr3:uid="{00000000-0010-0000-0500-000002000000}" name="Category"/>
    <tableColumn id="3" xr3:uid="{00000000-0010-0000-0500-000003000000}" name="Prompt Title"/>
    <tableColumn id="4" xr3:uid="{00000000-0010-0000-0500-000004000000}" name="Use It When"/>
    <tableColumn id="5" xr3:uid="{00000000-0010-0000-0500-000005000000}" name="Prompt (copy and paste)"/>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blSales" displayName="tblSales" ref="B6:K175">
  <autoFilter ref="B6:K175" xr:uid="{00000000-0009-0000-0100-000007000000}"/>
  <tableColumns count="10">
    <tableColumn id="1" xr3:uid="{00000000-0010-0000-0600-000001000000}" name="Order ID"/>
    <tableColumn id="2" xr3:uid="{00000000-0010-0000-0600-000002000000}" name="Order Date"/>
    <tableColumn id="3" xr3:uid="{00000000-0010-0000-0600-000003000000}" name="Customer"/>
    <tableColumn id="4" xr3:uid="{00000000-0010-0000-0600-000004000000}" name="Product"/>
    <tableColumn id="5" xr3:uid="{00000000-0010-0000-0600-000005000000}" name="Category">
      <calculatedColumnFormula>IFERROR(INDEX(tblProducts[Category],MATCH(tblSales[[#This Row],[Product]],tblProducts[Product],0)),"Uncategorized")</calculatedColumnFormula>
    </tableColumn>
    <tableColumn id="6" xr3:uid="{00000000-0010-0000-0600-000006000000}" name="Quantity"/>
    <tableColumn id="7" xr3:uid="{00000000-0010-0000-0600-000007000000}" name="Unit Price"/>
    <tableColumn id="8" xr3:uid="{00000000-0010-0000-0600-000008000000}" name="Order Total">
      <calculatedColumnFormula>tblSales[[#This Row],[Quantity]]*tblSales[[#This Row],[Unit Price]]</calculatedColumnFormula>
    </tableColumn>
    <tableColumn id="9" xr3:uid="{00000000-0010-0000-0600-000009000000}" name="Payment Status"/>
    <tableColumn id="10" xr3:uid="{00000000-0010-0000-0600-00000A000000}" name="Order Status"/>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blProducts" displayName="tblProducts" ref="M6:O14">
  <autoFilter ref="M6:O14" xr:uid="{00000000-0009-0000-0100-000008000000}"/>
  <tableColumns count="3">
    <tableColumn id="1" xr3:uid="{00000000-0010-0000-0700-000001000000}" name="Product"/>
    <tableColumn id="2" xr3:uid="{00000000-0010-0000-0700-000002000000}" name="Category"/>
    <tableColumn id="3" xr3:uid="{00000000-0010-0000-0700-000003000000}" name="List Price"/>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blCustomers" displayName="tblCustomers" ref="Q6:W30">
  <autoFilter ref="Q6:W30" xr:uid="{00000000-0009-0000-0100-000009000000}"/>
  <tableColumns count="7">
    <tableColumn id="1" xr3:uid="{00000000-0010-0000-0800-000001000000}" name="Customer ID"/>
    <tableColumn id="2" xr3:uid="{00000000-0010-0000-0800-000002000000}" name="Customer Name"/>
    <tableColumn id="3" xr3:uid="{00000000-0010-0000-0800-000003000000}" name="Country"/>
    <tableColumn id="4" xr3:uid="{00000000-0010-0000-0800-000004000000}" name="Segment"/>
    <tableColumn id="5" xr3:uid="{00000000-0010-0000-0800-000005000000}" name="Customer Since"/>
    <tableColumn id="6" xr3:uid="{00000000-0010-0000-0800-000006000000}" name="Orders">
      <calculatedColumnFormula>COUNTIFS(tblSales[Customer],tblCustomers[[#This Row],[Customer Name]],tblSales[Order Status],"&lt;&gt;Cancelled")</calculatedColumnFormula>
    </tableColumn>
    <tableColumn id="7" xr3:uid="{00000000-0010-0000-0800-000007000000}" name="Revenue">
      <calculatedColumnFormula>SUMIFS(tblSales[Order Total],tblSales[Customer],tblCustomers[[#This Row],[Customer Name]],tblSales[Order Status],"&lt;&gt;Cancelled")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A5F"/>
    <pageSetUpPr fitToPage="1"/>
  </sheetPr>
  <dimension ref="B2:I67"/>
  <sheetViews>
    <sheetView showGridLines="0" tabSelected="1" workbookViewId="0"/>
  </sheetViews>
  <sheetFormatPr defaultRowHeight="16.05" customHeight="1" x14ac:dyDescent="0.3"/>
  <cols>
    <col min="1" max="1" width="2" customWidth="1"/>
    <col min="2" max="2" width="22" customWidth="1"/>
    <col min="3" max="9" width="16" customWidth="1"/>
    <col min="10" max="10" width="2" customWidth="1"/>
  </cols>
  <sheetData>
    <row r="2" spans="2:9" ht="43.95" customHeight="1" x14ac:dyDescent="0.3">
      <c r="B2" s="53" t="s">
        <v>0</v>
      </c>
      <c r="C2" s="53"/>
      <c r="D2" s="53"/>
      <c r="E2" s="53"/>
      <c r="F2" s="53"/>
      <c r="G2" s="53"/>
      <c r="H2" s="53"/>
      <c r="I2" s="53"/>
    </row>
    <row r="3" spans="2:9" ht="24" customHeight="1" x14ac:dyDescent="0.3">
      <c r="B3" s="51" t="s">
        <v>1</v>
      </c>
      <c r="C3" s="51"/>
      <c r="D3" s="51"/>
      <c r="E3" s="51"/>
      <c r="F3" s="51"/>
      <c r="G3" s="51"/>
      <c r="H3" s="51"/>
      <c r="I3" s="51"/>
    </row>
    <row r="5" spans="2:9" ht="19.95" customHeight="1" x14ac:dyDescent="0.3">
      <c r="B5" s="46" t="s">
        <v>2</v>
      </c>
      <c r="C5" s="46"/>
      <c r="D5" s="46"/>
      <c r="E5" s="46"/>
      <c r="F5" s="46"/>
      <c r="G5" s="46"/>
      <c r="H5" s="46"/>
      <c r="I5" s="46"/>
    </row>
    <row r="6" spans="2:9" ht="30" customHeight="1" x14ac:dyDescent="0.3">
      <c r="B6" s="48" t="s">
        <v>3</v>
      </c>
      <c r="C6" s="48"/>
      <c r="D6" s="1">
        <v>46295</v>
      </c>
      <c r="E6" s="56" t="s">
        <v>4</v>
      </c>
      <c r="F6" s="56"/>
      <c r="G6" s="56"/>
      <c r="H6" s="56"/>
      <c r="I6" s="56"/>
    </row>
    <row r="7" spans="2:9" ht="30" customHeight="1" x14ac:dyDescent="0.3">
      <c r="B7" s="48" t="s">
        <v>5</v>
      </c>
      <c r="C7" s="48"/>
      <c r="D7" s="1">
        <v>45931</v>
      </c>
      <c r="E7" s="56" t="s">
        <v>6</v>
      </c>
      <c r="F7" s="56"/>
      <c r="G7" s="56"/>
      <c r="H7" s="56"/>
      <c r="I7" s="56"/>
    </row>
    <row r="9" spans="2:9" ht="19.95" customHeight="1" x14ac:dyDescent="0.3">
      <c r="B9" s="46" t="s">
        <v>7</v>
      </c>
      <c r="C9" s="46"/>
      <c r="D9" s="46"/>
      <c r="E9" s="46"/>
      <c r="F9" s="46"/>
      <c r="G9" s="46"/>
      <c r="H9" s="46"/>
      <c r="I9" s="46"/>
    </row>
    <row r="10" spans="2:9" ht="58.05" customHeight="1" x14ac:dyDescent="0.3">
      <c r="B10" s="50" t="s">
        <v>8</v>
      </c>
      <c r="C10" s="50"/>
      <c r="D10" s="50"/>
      <c r="E10" s="50"/>
      <c r="F10" s="50"/>
      <c r="G10" s="50"/>
      <c r="H10" s="50"/>
      <c r="I10" s="50"/>
    </row>
    <row r="12" spans="2:9" ht="19.95" customHeight="1" x14ac:dyDescent="0.3">
      <c r="B12" s="46" t="s">
        <v>9</v>
      </c>
      <c r="C12" s="46"/>
      <c r="D12" s="46"/>
      <c r="E12" s="46"/>
      <c r="F12" s="46"/>
      <c r="G12" s="46"/>
      <c r="H12" s="46"/>
      <c r="I12" s="46"/>
    </row>
    <row r="13" spans="2:9" ht="44.55" customHeight="1" x14ac:dyDescent="0.3">
      <c r="B13" s="50" t="s">
        <v>10</v>
      </c>
      <c r="C13" s="50"/>
      <c r="D13" s="50"/>
      <c r="E13" s="50"/>
      <c r="F13" s="50"/>
      <c r="G13" s="50"/>
      <c r="H13" s="50"/>
      <c r="I13" s="50"/>
    </row>
    <row r="15" spans="2:9" ht="19.95" customHeight="1" x14ac:dyDescent="0.3">
      <c r="B15" s="46" t="s">
        <v>11</v>
      </c>
      <c r="C15" s="46"/>
      <c r="D15" s="46"/>
      <c r="E15" s="46"/>
      <c r="F15" s="46"/>
      <c r="G15" s="46"/>
      <c r="H15" s="46"/>
      <c r="I15" s="46"/>
    </row>
    <row r="16" spans="2:9" ht="31.05" customHeight="1" x14ac:dyDescent="0.3">
      <c r="B16" s="2" t="s">
        <v>12</v>
      </c>
      <c r="C16" s="49" t="s">
        <v>13</v>
      </c>
      <c r="D16" s="49"/>
      <c r="E16" s="49"/>
      <c r="F16" s="49"/>
      <c r="G16" s="49"/>
      <c r="H16" s="49"/>
      <c r="I16" s="49"/>
    </row>
    <row r="17" spans="2:9" ht="17.55" customHeight="1" x14ac:dyDescent="0.3">
      <c r="B17" s="2" t="s">
        <v>14</v>
      </c>
      <c r="C17" s="49" t="s">
        <v>15</v>
      </c>
      <c r="D17" s="49"/>
      <c r="E17" s="49"/>
      <c r="F17" s="49"/>
      <c r="G17" s="49"/>
      <c r="H17" s="49"/>
      <c r="I17" s="49"/>
    </row>
    <row r="18" spans="2:9" ht="17.55" customHeight="1" x14ac:dyDescent="0.3">
      <c r="B18" s="2" t="s">
        <v>16</v>
      </c>
      <c r="C18" s="49" t="s">
        <v>17</v>
      </c>
      <c r="D18" s="49"/>
      <c r="E18" s="49"/>
      <c r="F18" s="49"/>
      <c r="G18" s="49"/>
      <c r="H18" s="49"/>
      <c r="I18" s="49"/>
    </row>
    <row r="19" spans="2:9" ht="31.05" customHeight="1" x14ac:dyDescent="0.3">
      <c r="B19" s="2" t="s">
        <v>18</v>
      </c>
      <c r="C19" s="49" t="s">
        <v>19</v>
      </c>
      <c r="D19" s="49"/>
      <c r="E19" s="49"/>
      <c r="F19" s="49"/>
      <c r="G19" s="49"/>
      <c r="H19" s="49"/>
      <c r="I19" s="49"/>
    </row>
    <row r="20" spans="2:9" ht="31.05" customHeight="1" x14ac:dyDescent="0.3">
      <c r="B20" s="2" t="s">
        <v>20</v>
      </c>
      <c r="C20" s="49" t="s">
        <v>21</v>
      </c>
      <c r="D20" s="49"/>
      <c r="E20" s="49"/>
      <c r="F20" s="49"/>
      <c r="G20" s="49"/>
      <c r="H20" s="49"/>
      <c r="I20" s="49"/>
    </row>
    <row r="21" spans="2:9" ht="17.55" customHeight="1" x14ac:dyDescent="0.3">
      <c r="B21" s="2" t="s">
        <v>22</v>
      </c>
      <c r="C21" s="49" t="s">
        <v>23</v>
      </c>
      <c r="D21" s="49"/>
      <c r="E21" s="49"/>
      <c r="F21" s="49"/>
      <c r="G21" s="49"/>
      <c r="H21" s="49"/>
      <c r="I21" s="49"/>
    </row>
    <row r="22" spans="2:9" ht="31.05" customHeight="1" x14ac:dyDescent="0.3">
      <c r="B22" s="2" t="s">
        <v>24</v>
      </c>
      <c r="C22" s="49" t="s">
        <v>25</v>
      </c>
      <c r="D22" s="49"/>
      <c r="E22" s="49"/>
      <c r="F22" s="49"/>
      <c r="G22" s="49"/>
      <c r="H22" s="49"/>
      <c r="I22" s="49"/>
    </row>
    <row r="24" spans="2:9" ht="19.95" customHeight="1" x14ac:dyDescent="0.3">
      <c r="B24" s="46" t="s">
        <v>26</v>
      </c>
      <c r="C24" s="46"/>
      <c r="D24" s="46"/>
      <c r="E24" s="46"/>
      <c r="F24" s="46"/>
      <c r="G24" s="46"/>
      <c r="H24" s="46"/>
      <c r="I24" s="46"/>
    </row>
    <row r="25" spans="2:9" ht="19.95" customHeight="1" x14ac:dyDescent="0.3">
      <c r="B25" s="3" t="s">
        <v>27</v>
      </c>
      <c r="C25" s="55" t="s">
        <v>28</v>
      </c>
      <c r="D25" s="55"/>
      <c r="E25" s="55"/>
      <c r="F25" s="55"/>
      <c r="G25" s="55" t="s">
        <v>29</v>
      </c>
      <c r="H25" s="55"/>
      <c r="I25" s="55"/>
    </row>
    <row r="26" spans="2:9" ht="33" customHeight="1" x14ac:dyDescent="0.3">
      <c r="B26" s="5" t="s">
        <v>30</v>
      </c>
      <c r="C26" s="52" t="s">
        <v>31</v>
      </c>
      <c r="D26" s="52"/>
      <c r="E26" s="52"/>
      <c r="F26" s="52"/>
      <c r="G26" s="47" t="s">
        <v>32</v>
      </c>
      <c r="H26" s="47"/>
      <c r="I26" s="47"/>
    </row>
    <row r="27" spans="2:9" ht="33" customHeight="1" x14ac:dyDescent="0.3">
      <c r="B27" s="5" t="s">
        <v>33</v>
      </c>
      <c r="C27" s="52" t="s">
        <v>34</v>
      </c>
      <c r="D27" s="52"/>
      <c r="E27" s="52"/>
      <c r="F27" s="52"/>
      <c r="G27" s="47" t="s">
        <v>35</v>
      </c>
      <c r="H27" s="47"/>
      <c r="I27" s="47"/>
    </row>
    <row r="28" spans="2:9" ht="33" customHeight="1" x14ac:dyDescent="0.3">
      <c r="B28" s="5" t="s">
        <v>36</v>
      </c>
      <c r="C28" s="52" t="s">
        <v>37</v>
      </c>
      <c r="D28" s="52"/>
      <c r="E28" s="52"/>
      <c r="F28" s="52"/>
      <c r="G28" s="47" t="s">
        <v>38</v>
      </c>
      <c r="H28" s="47"/>
      <c r="I28" s="47"/>
    </row>
    <row r="29" spans="2:9" ht="33" customHeight="1" x14ac:dyDescent="0.3">
      <c r="B29" s="5" t="s">
        <v>39</v>
      </c>
      <c r="C29" s="52" t="s">
        <v>40</v>
      </c>
      <c r="D29" s="52"/>
      <c r="E29" s="52"/>
      <c r="F29" s="52"/>
      <c r="G29" s="47" t="s">
        <v>41</v>
      </c>
      <c r="H29" s="47"/>
      <c r="I29" s="47"/>
    </row>
    <row r="30" spans="2:9" ht="33" customHeight="1" x14ac:dyDescent="0.3">
      <c r="B30" s="5" t="s">
        <v>42</v>
      </c>
      <c r="C30" s="52" t="s">
        <v>43</v>
      </c>
      <c r="D30" s="52"/>
      <c r="E30" s="52"/>
      <c r="F30" s="52"/>
      <c r="G30" s="47" t="s">
        <v>44</v>
      </c>
      <c r="H30" s="47"/>
      <c r="I30" s="47"/>
    </row>
    <row r="31" spans="2:9" ht="33" customHeight="1" x14ac:dyDescent="0.3">
      <c r="B31" s="5" t="s">
        <v>45</v>
      </c>
      <c r="C31" s="52" t="s">
        <v>46</v>
      </c>
      <c r="D31" s="52"/>
      <c r="E31" s="52"/>
      <c r="F31" s="52"/>
      <c r="G31" s="47" t="s">
        <v>47</v>
      </c>
      <c r="H31" s="47"/>
      <c r="I31" s="47"/>
    </row>
    <row r="32" spans="2:9" ht="33" customHeight="1" x14ac:dyDescent="0.3">
      <c r="B32" s="5" t="s">
        <v>48</v>
      </c>
      <c r="C32" s="52" t="s">
        <v>49</v>
      </c>
      <c r="D32" s="52"/>
      <c r="E32" s="52"/>
      <c r="F32" s="52"/>
      <c r="G32" s="47" t="s">
        <v>50</v>
      </c>
      <c r="H32" s="47"/>
      <c r="I32" s="47"/>
    </row>
    <row r="33" spans="2:9" ht="33" customHeight="1" x14ac:dyDescent="0.3">
      <c r="B33" s="5" t="s">
        <v>51</v>
      </c>
      <c r="C33" s="52" t="s">
        <v>52</v>
      </c>
      <c r="D33" s="52"/>
      <c r="E33" s="52"/>
      <c r="F33" s="52"/>
      <c r="G33" s="47" t="s">
        <v>53</v>
      </c>
      <c r="H33" s="47"/>
      <c r="I33" s="47"/>
    </row>
    <row r="35" spans="2:9" ht="19.95" customHeight="1" x14ac:dyDescent="0.3">
      <c r="B35" s="46" t="s">
        <v>54</v>
      </c>
      <c r="C35" s="46"/>
      <c r="D35" s="46"/>
      <c r="E35" s="46"/>
      <c r="F35" s="46"/>
      <c r="G35" s="46"/>
      <c r="H35" s="46"/>
      <c r="I35" s="46"/>
    </row>
    <row r="36" spans="2:9" ht="17.55" customHeight="1" x14ac:dyDescent="0.3">
      <c r="B36" s="50" t="s">
        <v>55</v>
      </c>
      <c r="C36" s="50"/>
      <c r="D36" s="50"/>
      <c r="E36" s="50"/>
      <c r="F36" s="50"/>
      <c r="G36" s="50"/>
      <c r="H36" s="50"/>
      <c r="I36" s="50"/>
    </row>
    <row r="37" spans="2:9" ht="31.05" customHeight="1" x14ac:dyDescent="0.3">
      <c r="B37" s="50" t="s">
        <v>56</v>
      </c>
      <c r="C37" s="50"/>
      <c r="D37" s="50"/>
      <c r="E37" s="50"/>
      <c r="F37" s="50"/>
      <c r="G37" s="50"/>
      <c r="H37" s="50"/>
      <c r="I37" s="50"/>
    </row>
    <row r="38" spans="2:9" ht="31.05" customHeight="1" x14ac:dyDescent="0.3">
      <c r="B38" s="50" t="s">
        <v>57</v>
      </c>
      <c r="C38" s="50"/>
      <c r="D38" s="50"/>
      <c r="E38" s="50"/>
      <c r="F38" s="50"/>
      <c r="G38" s="50"/>
      <c r="H38" s="50"/>
      <c r="I38" s="50"/>
    </row>
    <row r="39" spans="2:9" ht="17.55" customHeight="1" x14ac:dyDescent="0.3">
      <c r="B39" s="50" t="s">
        <v>58</v>
      </c>
      <c r="C39" s="50"/>
      <c r="D39" s="50"/>
      <c r="E39" s="50"/>
      <c r="F39" s="50"/>
      <c r="G39" s="50"/>
      <c r="H39" s="50"/>
      <c r="I39" s="50"/>
    </row>
    <row r="40" spans="2:9" ht="31.05" customHeight="1" x14ac:dyDescent="0.3">
      <c r="B40" s="50" t="s">
        <v>59</v>
      </c>
      <c r="C40" s="50"/>
      <c r="D40" s="50"/>
      <c r="E40" s="50"/>
      <c r="F40" s="50"/>
      <c r="G40" s="50"/>
      <c r="H40" s="50"/>
      <c r="I40" s="50"/>
    </row>
    <row r="41" spans="2:9" ht="17.55" customHeight="1" x14ac:dyDescent="0.3">
      <c r="B41" s="50" t="s">
        <v>60</v>
      </c>
      <c r="C41" s="50"/>
      <c r="D41" s="50"/>
      <c r="E41" s="50"/>
      <c r="F41" s="50"/>
      <c r="G41" s="50"/>
      <c r="H41" s="50"/>
      <c r="I41" s="50"/>
    </row>
    <row r="43" spans="2:9" ht="19.95" customHeight="1" x14ac:dyDescent="0.3">
      <c r="B43" s="46" t="s">
        <v>61</v>
      </c>
      <c r="C43" s="46"/>
      <c r="D43" s="46"/>
      <c r="E43" s="46"/>
      <c r="F43" s="46"/>
      <c r="G43" s="46"/>
      <c r="H43" s="46"/>
      <c r="I43" s="46"/>
    </row>
    <row r="44" spans="2:9" ht="31.05" customHeight="1" x14ac:dyDescent="0.3">
      <c r="B44" s="50" t="s">
        <v>62</v>
      </c>
      <c r="C44" s="50"/>
      <c r="D44" s="50"/>
      <c r="E44" s="50"/>
      <c r="F44" s="50"/>
      <c r="G44" s="50"/>
      <c r="H44" s="50"/>
      <c r="I44" s="50"/>
    </row>
    <row r="45" spans="2:9" ht="31.05" customHeight="1" x14ac:dyDescent="0.3">
      <c r="B45" s="50" t="s">
        <v>63</v>
      </c>
      <c r="C45" s="50"/>
      <c r="D45" s="50"/>
      <c r="E45" s="50"/>
      <c r="F45" s="50"/>
      <c r="G45" s="50"/>
      <c r="H45" s="50"/>
      <c r="I45" s="50"/>
    </row>
    <row r="46" spans="2:9" ht="31.05" customHeight="1" x14ac:dyDescent="0.3">
      <c r="B46" s="50" t="s">
        <v>64</v>
      </c>
      <c r="C46" s="50"/>
      <c r="D46" s="50"/>
      <c r="E46" s="50"/>
      <c r="F46" s="50"/>
      <c r="G46" s="50"/>
      <c r="H46" s="50"/>
      <c r="I46" s="50"/>
    </row>
    <row r="47" spans="2:9" ht="17.55" customHeight="1" x14ac:dyDescent="0.3">
      <c r="B47" s="50" t="s">
        <v>65</v>
      </c>
      <c r="C47" s="50"/>
      <c r="D47" s="50"/>
      <c r="E47" s="50"/>
      <c r="F47" s="50"/>
      <c r="G47" s="50"/>
      <c r="H47" s="50"/>
      <c r="I47" s="50"/>
    </row>
    <row r="48" spans="2:9" ht="17.55" customHeight="1" x14ac:dyDescent="0.3">
      <c r="B48" s="50" t="s">
        <v>66</v>
      </c>
      <c r="C48" s="50"/>
      <c r="D48" s="50"/>
      <c r="E48" s="50"/>
      <c r="F48" s="50"/>
      <c r="G48" s="50"/>
      <c r="H48" s="50"/>
      <c r="I48" s="50"/>
    </row>
    <row r="50" spans="2:9" ht="19.95" customHeight="1" x14ac:dyDescent="0.3">
      <c r="B50" s="46" t="s">
        <v>67</v>
      </c>
      <c r="C50" s="46"/>
      <c r="D50" s="46"/>
      <c r="E50" s="46"/>
      <c r="F50" s="46"/>
      <c r="G50" s="46"/>
      <c r="H50" s="46"/>
      <c r="I50" s="46"/>
    </row>
    <row r="51" spans="2:9" ht="31.05" customHeight="1" x14ac:dyDescent="0.3">
      <c r="B51" s="50" t="s">
        <v>68</v>
      </c>
      <c r="C51" s="50"/>
      <c r="D51" s="50"/>
      <c r="E51" s="50"/>
      <c r="F51" s="50"/>
      <c r="G51" s="50"/>
      <c r="H51" s="50"/>
      <c r="I51" s="50"/>
    </row>
    <row r="52" spans="2:9" ht="17.55" customHeight="1" x14ac:dyDescent="0.3">
      <c r="B52" s="50" t="s">
        <v>69</v>
      </c>
      <c r="C52" s="50"/>
      <c r="D52" s="50"/>
      <c r="E52" s="50"/>
      <c r="F52" s="50"/>
      <c r="G52" s="50"/>
      <c r="H52" s="50"/>
      <c r="I52" s="50"/>
    </row>
    <row r="53" spans="2:9" ht="17.55" customHeight="1" x14ac:dyDescent="0.3">
      <c r="B53" s="50" t="s">
        <v>70</v>
      </c>
      <c r="C53" s="50"/>
      <c r="D53" s="50"/>
      <c r="E53" s="50"/>
      <c r="F53" s="50"/>
      <c r="G53" s="50"/>
      <c r="H53" s="50"/>
      <c r="I53" s="50"/>
    </row>
    <row r="54" spans="2:9" ht="17.55" customHeight="1" x14ac:dyDescent="0.3">
      <c r="B54" s="50" t="s">
        <v>71</v>
      </c>
      <c r="C54" s="50"/>
      <c r="D54" s="50"/>
      <c r="E54" s="50"/>
      <c r="F54" s="50"/>
      <c r="G54" s="50"/>
      <c r="H54" s="50"/>
      <c r="I54" s="50"/>
    </row>
    <row r="56" spans="2:9" ht="19.95" customHeight="1" x14ac:dyDescent="0.3">
      <c r="B56" s="46" t="s">
        <v>72</v>
      </c>
      <c r="C56" s="46"/>
      <c r="D56" s="46"/>
      <c r="E56" s="46"/>
      <c r="F56" s="46"/>
      <c r="G56" s="46"/>
      <c r="H56" s="46"/>
      <c r="I56" s="46"/>
    </row>
    <row r="57" spans="2:9" ht="44.55" customHeight="1" x14ac:dyDescent="0.3">
      <c r="B57" s="50" t="s">
        <v>73</v>
      </c>
      <c r="C57" s="50"/>
      <c r="D57" s="50"/>
      <c r="E57" s="50"/>
      <c r="F57" s="50"/>
      <c r="G57" s="50"/>
      <c r="H57" s="50"/>
      <c r="I57" s="50"/>
    </row>
    <row r="59" spans="2:9" ht="19.95" customHeight="1" x14ac:dyDescent="0.3">
      <c r="B59" s="46" t="s">
        <v>74</v>
      </c>
      <c r="C59" s="46"/>
      <c r="D59" s="46"/>
      <c r="E59" s="46"/>
      <c r="F59" s="46"/>
      <c r="G59" s="46"/>
      <c r="H59" s="46"/>
      <c r="I59" s="46"/>
    </row>
    <row r="60" spans="2:9" ht="31.05" customHeight="1" x14ac:dyDescent="0.3">
      <c r="B60" s="50" t="s">
        <v>75</v>
      </c>
      <c r="C60" s="50"/>
      <c r="D60" s="50"/>
      <c r="E60" s="50"/>
      <c r="F60" s="50"/>
      <c r="G60" s="50"/>
      <c r="H60" s="50"/>
      <c r="I60" s="50"/>
    </row>
    <row r="62" spans="2:9" ht="19.95" customHeight="1" x14ac:dyDescent="0.3">
      <c r="B62" s="46" t="s">
        <v>76</v>
      </c>
      <c r="C62" s="46"/>
      <c r="D62" s="46"/>
      <c r="E62" s="46"/>
      <c r="F62" s="46"/>
      <c r="G62" s="46"/>
      <c r="H62" s="46"/>
      <c r="I62" s="46"/>
    </row>
    <row r="63" spans="2:9" ht="19.95" customHeight="1" x14ac:dyDescent="0.3">
      <c r="B63" s="6" t="s">
        <v>77</v>
      </c>
      <c r="C63" s="57" t="s">
        <v>78</v>
      </c>
      <c r="D63" s="57"/>
      <c r="E63" s="57"/>
      <c r="F63" s="57"/>
      <c r="G63" s="57"/>
      <c r="H63" s="57"/>
      <c r="I63" s="57"/>
    </row>
    <row r="64" spans="2:9" ht="19.95" customHeight="1" x14ac:dyDescent="0.3">
      <c r="B64" s="7" t="s">
        <v>79</v>
      </c>
      <c r="C64" s="57" t="s">
        <v>80</v>
      </c>
      <c r="D64" s="57"/>
      <c r="E64" s="57"/>
      <c r="F64" s="57"/>
      <c r="G64" s="57"/>
      <c r="H64" s="57"/>
      <c r="I64" s="57"/>
    </row>
    <row r="65" spans="2:9" ht="19.95" customHeight="1" x14ac:dyDescent="0.3">
      <c r="B65" s="8" t="s">
        <v>81</v>
      </c>
      <c r="C65" s="57" t="s">
        <v>82</v>
      </c>
      <c r="D65" s="57"/>
      <c r="E65" s="57"/>
      <c r="F65" s="57"/>
      <c r="G65" s="57"/>
      <c r="H65" s="57"/>
      <c r="I65" s="57"/>
    </row>
    <row r="67" spans="2:9" ht="14.4" x14ac:dyDescent="0.3">
      <c r="B67" s="54" t="s">
        <v>83</v>
      </c>
      <c r="C67" s="54"/>
      <c r="D67" s="54"/>
      <c r="E67" s="54"/>
      <c r="F67" s="54"/>
      <c r="G67" s="54"/>
      <c r="H67" s="54"/>
      <c r="I67" s="54"/>
    </row>
  </sheetData>
  <mergeCells count="65">
    <mergeCell ref="C63:I63"/>
    <mergeCell ref="C65:I65"/>
    <mergeCell ref="B40:I40"/>
    <mergeCell ref="B9:I9"/>
    <mergeCell ref="B6:C6"/>
    <mergeCell ref="C22:I22"/>
    <mergeCell ref="C31:F31"/>
    <mergeCell ref="E7:I7"/>
    <mergeCell ref="B15:I15"/>
    <mergeCell ref="G27:I27"/>
    <mergeCell ref="B24:I24"/>
    <mergeCell ref="B51:I51"/>
    <mergeCell ref="C21:I21"/>
    <mergeCell ref="B36:I36"/>
    <mergeCell ref="B45:I45"/>
    <mergeCell ref="C27:F27"/>
    <mergeCell ref="B67:I67"/>
    <mergeCell ref="G29:I29"/>
    <mergeCell ref="B57:I57"/>
    <mergeCell ref="G25:I25"/>
    <mergeCell ref="B13:I13"/>
    <mergeCell ref="G32:I32"/>
    <mergeCell ref="B44:I44"/>
    <mergeCell ref="B53:I53"/>
    <mergeCell ref="C64:I64"/>
    <mergeCell ref="B38:I38"/>
    <mergeCell ref="C26:F26"/>
    <mergeCell ref="G31:I31"/>
    <mergeCell ref="C20:I20"/>
    <mergeCell ref="C29:F29"/>
    <mergeCell ref="B37:I37"/>
    <mergeCell ref="C16:I16"/>
    <mergeCell ref="B2:I2"/>
    <mergeCell ref="C30:F30"/>
    <mergeCell ref="B60:I60"/>
    <mergeCell ref="G26:I26"/>
    <mergeCell ref="C33:F33"/>
    <mergeCell ref="E6:I6"/>
    <mergeCell ref="B10:I10"/>
    <mergeCell ref="C25:F25"/>
    <mergeCell ref="B5:I5"/>
    <mergeCell ref="B41:I41"/>
    <mergeCell ref="B35:I35"/>
    <mergeCell ref="B50:I50"/>
    <mergeCell ref="B3:I3"/>
    <mergeCell ref="B59:I59"/>
    <mergeCell ref="C32:F32"/>
    <mergeCell ref="B46:I46"/>
    <mergeCell ref="G30:I30"/>
    <mergeCell ref="C19:I19"/>
    <mergeCell ref="C28:F28"/>
    <mergeCell ref="G33:I33"/>
    <mergeCell ref="B12:I12"/>
    <mergeCell ref="B43:I43"/>
    <mergeCell ref="B56:I56"/>
    <mergeCell ref="B52:I52"/>
    <mergeCell ref="B48:I48"/>
    <mergeCell ref="C18:I18"/>
    <mergeCell ref="B39:I39"/>
    <mergeCell ref="B62:I62"/>
    <mergeCell ref="G28:I28"/>
    <mergeCell ref="B7:C7"/>
    <mergeCell ref="C17:I17"/>
    <mergeCell ref="B47:I47"/>
    <mergeCell ref="B54:I54"/>
  </mergeCells>
  <hyperlinks>
    <hyperlink ref="B26" location="SALES_DASHBOARD!A1" display="SALES_DASHBOARD" xr:uid="{00000000-0004-0000-0000-000000000000}"/>
    <hyperlink ref="B27" location="EXPENSES!A1" display="EXPENSES" xr:uid="{00000000-0004-0000-0000-000001000000}"/>
    <hyperlink ref="B28" location="INVOICES!A1" display="INVOICES" xr:uid="{00000000-0004-0000-0000-000002000000}"/>
    <hyperlink ref="B29" location="CRM!A1" display="CRM" xr:uid="{00000000-0004-0000-0000-000003000000}"/>
    <hyperlink ref="B30" location="KPI_DASHBOARD!A1" display="KPI_DASHBOARD" xr:uid="{00000000-0004-0000-0000-000004000000}"/>
    <hyperlink ref="B31" location="DATA_CLEANER!A1" display="DATA_CLEANER" xr:uid="{00000000-0004-0000-0000-000005000000}"/>
    <hyperlink ref="B32" location="AI_PROMPTS!A1" display="AI_PROMPTS" xr:uid="{00000000-0004-0000-0000-000006000000}"/>
    <hyperlink ref="B33" location="EXAMPLE_DATA!A1" display="EXAMPLE_DATA" xr:uid="{00000000-0004-0000-0000-000007000000}"/>
  </hyperlinks>
  <printOptions horizontalCentered="1"/>
  <pageMargins left="0.4" right="0.4" top="0.5" bottom="0.5"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A5F"/>
    <pageSetUpPr fitToPage="1"/>
  </sheetPr>
  <dimension ref="B2:M67"/>
  <sheetViews>
    <sheetView showGridLines="0" workbookViewId="0"/>
  </sheetViews>
  <sheetFormatPr defaultRowHeight="16.05" customHeight="1" x14ac:dyDescent="0.3"/>
  <cols>
    <col min="1" max="1" width="2" customWidth="1"/>
    <col min="2" max="13" width="13.44140625" customWidth="1"/>
    <col min="14" max="14" width="2" customWidth="1"/>
  </cols>
  <sheetData>
    <row r="2" spans="2:13" ht="34.049999999999997" customHeight="1" x14ac:dyDescent="0.3">
      <c r="B2" s="53" t="s">
        <v>84</v>
      </c>
      <c r="C2" s="53"/>
      <c r="D2" s="53"/>
      <c r="E2" s="53"/>
      <c r="F2" s="53"/>
      <c r="G2" s="53"/>
      <c r="H2" s="53"/>
      <c r="I2" s="53"/>
      <c r="J2" s="53"/>
      <c r="K2" s="53"/>
      <c r="L2" s="53"/>
      <c r="M2" s="53"/>
    </row>
    <row r="3" spans="2:13" ht="22.05" customHeight="1" x14ac:dyDescent="0.3">
      <c r="B3" s="51" t="s">
        <v>85</v>
      </c>
      <c r="C3" s="51"/>
      <c r="D3" s="51"/>
      <c r="E3" s="51"/>
      <c r="F3" s="51"/>
      <c r="G3" s="51"/>
      <c r="H3" s="51"/>
      <c r="I3" s="51"/>
      <c r="J3" s="51"/>
      <c r="K3" s="51"/>
      <c r="L3" s="51"/>
      <c r="M3" s="51"/>
    </row>
    <row r="4" spans="2:13" ht="7.95" customHeight="1" x14ac:dyDescent="0.3"/>
    <row r="5" spans="2:13" ht="18" customHeight="1" x14ac:dyDescent="0.3">
      <c r="B5" s="61" t="s">
        <v>86</v>
      </c>
      <c r="C5" s="62"/>
      <c r="D5" s="61" t="s">
        <v>87</v>
      </c>
      <c r="E5" s="62"/>
      <c r="F5" s="61" t="s">
        <v>88</v>
      </c>
      <c r="G5" s="62"/>
      <c r="H5" s="61" t="s">
        <v>89</v>
      </c>
      <c r="I5" s="62"/>
      <c r="J5" s="61" t="s">
        <v>90</v>
      </c>
      <c r="K5" s="62"/>
      <c r="L5" s="61" t="s">
        <v>91</v>
      </c>
      <c r="M5" s="62"/>
    </row>
    <row r="6" spans="2:13" ht="30" customHeight="1" x14ac:dyDescent="0.3">
      <c r="B6" s="66">
        <f>SUMIFS(tblSales[Order Total],tblSales[Order Status],"&lt;&gt;Cancelled")</f>
        <v>129906</v>
      </c>
      <c r="C6" s="67"/>
      <c r="D6" s="66">
        <f>SUMIFS(tblSales[Order Total],tblSales[Payment Status],"Paid",tblSales[Order Status],"&lt;&gt;Cancelled")</f>
        <v>112736</v>
      </c>
      <c r="E6" s="67"/>
      <c r="F6" s="66">
        <f>SUMIFS(tblSales[Order Total],tblSales[Payment Status],"Pending",tblSales[Order Status],"&lt;&gt;Cancelled")</f>
        <v>17170</v>
      </c>
      <c r="G6" s="67"/>
      <c r="H6" s="70">
        <f>COUNTIFS(tblSales[Order Status],"&lt;&gt;Cancelled")</f>
        <v>161</v>
      </c>
      <c r="I6" s="71"/>
      <c r="J6" s="66">
        <f>IF(H6=0,"N/A",B6/H6)</f>
        <v>806.86956521739125</v>
      </c>
      <c r="K6" s="67"/>
      <c r="L6" s="70">
        <f>SUMPRODUCT(--(COUNTIFS(tblSales[Customer],tblCustomers[Customer Name],tblSales[Order Status],"&lt;&gt;Cancelled")&gt;0))</f>
        <v>23</v>
      </c>
      <c r="M6" s="71"/>
    </row>
    <row r="7" spans="2:13" ht="16.05" customHeight="1" x14ac:dyDescent="0.3">
      <c r="B7" s="59" t="s">
        <v>92</v>
      </c>
      <c r="C7" s="60"/>
      <c r="D7" s="59" t="s">
        <v>93</v>
      </c>
      <c r="E7" s="60"/>
      <c r="F7" s="59" t="s">
        <v>94</v>
      </c>
      <c r="G7" s="60"/>
      <c r="H7" s="59" t="s">
        <v>95</v>
      </c>
      <c r="I7" s="60"/>
      <c r="J7" s="59" t="s">
        <v>96</v>
      </c>
      <c r="K7" s="60"/>
      <c r="L7" s="59" t="s">
        <v>97</v>
      </c>
      <c r="M7" s="60"/>
    </row>
    <row r="8" spans="2:13" ht="7.95" customHeight="1" x14ac:dyDescent="0.3"/>
    <row r="9" spans="2:13" ht="19.95" customHeight="1" x14ac:dyDescent="0.3">
      <c r="B9" s="46" t="s">
        <v>98</v>
      </c>
      <c r="C9" s="46"/>
      <c r="D9" s="46"/>
      <c r="E9" s="46"/>
      <c r="F9" s="46"/>
      <c r="G9" s="46"/>
      <c r="H9" s="46"/>
      <c r="I9" s="46"/>
      <c r="J9" s="46"/>
      <c r="K9" s="46"/>
      <c r="L9" s="46"/>
      <c r="M9" s="46"/>
    </row>
    <row r="10" spans="2:13" ht="19.95" customHeight="1" x14ac:dyDescent="0.3">
      <c r="B10" s="68" t="s">
        <v>99</v>
      </c>
      <c r="C10" s="68"/>
      <c r="D10" s="4" t="s">
        <v>100</v>
      </c>
      <c r="E10" s="4" t="s">
        <v>101</v>
      </c>
      <c r="F10" s="4" t="s">
        <v>102</v>
      </c>
      <c r="G10" s="4" t="s">
        <v>103</v>
      </c>
    </row>
    <row r="11" spans="2:13" ht="14.4" x14ac:dyDescent="0.3">
      <c r="B11" s="58">
        <f>StartMonth</f>
        <v>45931</v>
      </c>
      <c r="C11" s="58"/>
      <c r="D11" s="10">
        <f>COUNTIFS(tblSales[Order Date],"&gt;="&amp;$B11,tblSales[Order Date],"&lt;"&amp;EDATE($B11,1),tblSales[Order Status],"&lt;&gt;Cancelled")</f>
        <v>10</v>
      </c>
      <c r="E11" s="11">
        <f>SUMIFS(tblSales[Order Total],tblSales[Order Date],"&gt;="&amp;$B11,tblSales[Order Date],"&lt;"&amp;EDATE($B11,1),tblSales[Order Status],"&lt;&gt;Cancelled")</f>
        <v>6790</v>
      </c>
      <c r="F11" s="11">
        <f>SUMIFS(tblSales[Order Total],tblSales[Order Date],"&gt;="&amp;$B11,tblSales[Order Date],"&lt;"&amp;EDATE($B11,1),tblSales[Order Status],"&lt;&gt;Cancelled",tblSales[Payment Status],"Paid")</f>
        <v>6790</v>
      </c>
      <c r="G11" s="11">
        <f>SUMIFS(tblSales[Order Total],tblSales[Order Date],"&gt;="&amp;$B11,tblSales[Order Date],"&lt;"&amp;EDATE($B11,1),tblSales[Order Status],"&lt;&gt;Cancelled",tblSales[Payment Status],"Pending")</f>
        <v>0</v>
      </c>
    </row>
    <row r="12" spans="2:13" ht="14.4" x14ac:dyDescent="0.3">
      <c r="B12" s="58">
        <f t="shared" ref="B12:B22" si="0">EDATE(B11,1)</f>
        <v>45962</v>
      </c>
      <c r="C12" s="58"/>
      <c r="D12" s="10">
        <f>COUNTIFS(tblSales[Order Date],"&gt;="&amp;$B12,tblSales[Order Date],"&lt;"&amp;EDATE($B12,1),tblSales[Order Status],"&lt;&gt;Cancelled")</f>
        <v>9</v>
      </c>
      <c r="E12" s="11">
        <f>SUMIFS(tblSales[Order Total],tblSales[Order Date],"&gt;="&amp;$B12,tblSales[Order Date],"&lt;"&amp;EDATE($B12,1),tblSales[Order Status],"&lt;&gt;Cancelled")</f>
        <v>6703</v>
      </c>
      <c r="F12" s="11">
        <f>SUMIFS(tblSales[Order Total],tblSales[Order Date],"&gt;="&amp;$B12,tblSales[Order Date],"&lt;"&amp;EDATE($B12,1),tblSales[Order Status],"&lt;&gt;Cancelled",tblSales[Payment Status],"Paid")</f>
        <v>6703</v>
      </c>
      <c r="G12" s="11">
        <f>SUMIFS(tblSales[Order Total],tblSales[Order Date],"&gt;="&amp;$B12,tblSales[Order Date],"&lt;"&amp;EDATE($B12,1),tblSales[Order Status],"&lt;&gt;Cancelled",tblSales[Payment Status],"Pending")</f>
        <v>0</v>
      </c>
    </row>
    <row r="13" spans="2:13" ht="14.4" x14ac:dyDescent="0.3">
      <c r="B13" s="58">
        <f t="shared" si="0"/>
        <v>45992</v>
      </c>
      <c r="C13" s="58"/>
      <c r="D13" s="10">
        <f>COUNTIFS(tblSales[Order Date],"&gt;="&amp;$B13,tblSales[Order Date],"&lt;"&amp;EDATE($B13,1),tblSales[Order Status],"&lt;&gt;Cancelled")</f>
        <v>11</v>
      </c>
      <c r="E13" s="11">
        <f>SUMIFS(tblSales[Order Total],tblSales[Order Date],"&gt;="&amp;$B13,tblSales[Order Date],"&lt;"&amp;EDATE($B13,1),tblSales[Order Status],"&lt;&gt;Cancelled")</f>
        <v>11688</v>
      </c>
      <c r="F13" s="11">
        <f>SUMIFS(tblSales[Order Total],tblSales[Order Date],"&gt;="&amp;$B13,tblSales[Order Date],"&lt;"&amp;EDATE($B13,1),tblSales[Order Status],"&lt;&gt;Cancelled",tblSales[Payment Status],"Paid")</f>
        <v>11688</v>
      </c>
      <c r="G13" s="11">
        <f>SUMIFS(tblSales[Order Total],tblSales[Order Date],"&gt;="&amp;$B13,tblSales[Order Date],"&lt;"&amp;EDATE($B13,1),tblSales[Order Status],"&lt;&gt;Cancelled",tblSales[Payment Status],"Pending")</f>
        <v>0</v>
      </c>
    </row>
    <row r="14" spans="2:13" ht="14.4" x14ac:dyDescent="0.3">
      <c r="B14" s="58">
        <f t="shared" si="0"/>
        <v>46023</v>
      </c>
      <c r="C14" s="58"/>
      <c r="D14" s="10">
        <f>COUNTIFS(tblSales[Order Date],"&gt;="&amp;$B14,tblSales[Order Date],"&lt;"&amp;EDATE($B14,1),tblSales[Order Status],"&lt;&gt;Cancelled")</f>
        <v>12</v>
      </c>
      <c r="E14" s="11">
        <f>SUMIFS(tblSales[Order Total],tblSales[Order Date],"&gt;="&amp;$B14,tblSales[Order Date],"&lt;"&amp;EDATE($B14,1),tblSales[Order Status],"&lt;&gt;Cancelled")</f>
        <v>7783</v>
      </c>
      <c r="F14" s="11">
        <f>SUMIFS(tblSales[Order Total],tblSales[Order Date],"&gt;="&amp;$B14,tblSales[Order Date],"&lt;"&amp;EDATE($B14,1),tblSales[Order Status],"&lt;&gt;Cancelled",tblSales[Payment Status],"Paid")</f>
        <v>7783</v>
      </c>
      <c r="G14" s="11">
        <f>SUMIFS(tblSales[Order Total],tblSales[Order Date],"&gt;="&amp;$B14,tblSales[Order Date],"&lt;"&amp;EDATE($B14,1),tblSales[Order Status],"&lt;&gt;Cancelled",tblSales[Payment Status],"Pending")</f>
        <v>0</v>
      </c>
    </row>
    <row r="15" spans="2:13" ht="14.4" x14ac:dyDescent="0.3">
      <c r="B15" s="58">
        <f t="shared" si="0"/>
        <v>46054</v>
      </c>
      <c r="C15" s="58"/>
      <c r="D15" s="10">
        <f>COUNTIFS(tblSales[Order Date],"&gt;="&amp;$B15,tblSales[Order Date],"&lt;"&amp;EDATE($B15,1),tblSales[Order Status],"&lt;&gt;Cancelled")</f>
        <v>13</v>
      </c>
      <c r="E15" s="11">
        <f>SUMIFS(tblSales[Order Total],tblSales[Order Date],"&gt;="&amp;$B15,tblSales[Order Date],"&lt;"&amp;EDATE($B15,1),tblSales[Order Status],"&lt;&gt;Cancelled")</f>
        <v>8114</v>
      </c>
      <c r="F15" s="11">
        <f>SUMIFS(tblSales[Order Total],tblSales[Order Date],"&gt;="&amp;$B15,tblSales[Order Date],"&lt;"&amp;EDATE($B15,1),tblSales[Order Status],"&lt;&gt;Cancelled",tblSales[Payment Status],"Paid")</f>
        <v>8114</v>
      </c>
      <c r="G15" s="11">
        <f>SUMIFS(tblSales[Order Total],tblSales[Order Date],"&gt;="&amp;$B15,tblSales[Order Date],"&lt;"&amp;EDATE($B15,1),tblSales[Order Status],"&lt;&gt;Cancelled",tblSales[Payment Status],"Pending")</f>
        <v>0</v>
      </c>
    </row>
    <row r="16" spans="2:13" ht="14.4" x14ac:dyDescent="0.3">
      <c r="B16" s="58">
        <f t="shared" si="0"/>
        <v>46082</v>
      </c>
      <c r="C16" s="58"/>
      <c r="D16" s="10">
        <f>COUNTIFS(tblSales[Order Date],"&gt;="&amp;$B16,tblSales[Order Date],"&lt;"&amp;EDATE($B16,1),tblSales[Order Status],"&lt;&gt;Cancelled")</f>
        <v>13</v>
      </c>
      <c r="E16" s="11">
        <f>SUMIFS(tblSales[Order Total],tblSales[Order Date],"&gt;="&amp;$B16,tblSales[Order Date],"&lt;"&amp;EDATE($B16,1),tblSales[Order Status],"&lt;&gt;Cancelled")</f>
        <v>13187</v>
      </c>
      <c r="F16" s="11">
        <f>SUMIFS(tblSales[Order Total],tblSales[Order Date],"&gt;="&amp;$B16,tblSales[Order Date],"&lt;"&amp;EDATE($B16,1),tblSales[Order Status],"&lt;&gt;Cancelled",tblSales[Payment Status],"Paid")</f>
        <v>13187</v>
      </c>
      <c r="G16" s="11">
        <f>SUMIFS(tblSales[Order Total],tblSales[Order Date],"&gt;="&amp;$B16,tblSales[Order Date],"&lt;"&amp;EDATE($B16,1),tblSales[Order Status],"&lt;&gt;Cancelled",tblSales[Payment Status],"Pending")</f>
        <v>0</v>
      </c>
    </row>
    <row r="17" spans="2:13" ht="14.4" x14ac:dyDescent="0.3">
      <c r="B17" s="58">
        <f t="shared" si="0"/>
        <v>46113</v>
      </c>
      <c r="C17" s="58"/>
      <c r="D17" s="10">
        <f>COUNTIFS(tblSales[Order Date],"&gt;="&amp;$B17,tblSales[Order Date],"&lt;"&amp;EDATE($B17,1),tblSales[Order Status],"&lt;&gt;Cancelled")</f>
        <v>13</v>
      </c>
      <c r="E17" s="11">
        <f>SUMIFS(tblSales[Order Total],tblSales[Order Date],"&gt;="&amp;$B17,tblSales[Order Date],"&lt;"&amp;EDATE($B17,1),tblSales[Order Status],"&lt;&gt;Cancelled")</f>
        <v>6927</v>
      </c>
      <c r="F17" s="11">
        <f>SUMIFS(tblSales[Order Total],tblSales[Order Date],"&gt;="&amp;$B17,tblSales[Order Date],"&lt;"&amp;EDATE($B17,1),tblSales[Order Status],"&lt;&gt;Cancelled",tblSales[Payment Status],"Paid")</f>
        <v>6927</v>
      </c>
      <c r="G17" s="11">
        <f>SUMIFS(tblSales[Order Total],tblSales[Order Date],"&gt;="&amp;$B17,tblSales[Order Date],"&lt;"&amp;EDATE($B17,1),tblSales[Order Status],"&lt;&gt;Cancelled",tblSales[Payment Status],"Pending")</f>
        <v>0</v>
      </c>
    </row>
    <row r="18" spans="2:13" ht="14.4" x14ac:dyDescent="0.3">
      <c r="B18" s="58">
        <f t="shared" si="0"/>
        <v>46143</v>
      </c>
      <c r="C18" s="58"/>
      <c r="D18" s="10">
        <f>COUNTIFS(tblSales[Order Date],"&gt;="&amp;$B18,tblSales[Order Date],"&lt;"&amp;EDATE($B18,1),tblSales[Order Status],"&lt;&gt;Cancelled")</f>
        <v>14</v>
      </c>
      <c r="E18" s="11">
        <f>SUMIFS(tblSales[Order Total],tblSales[Order Date],"&gt;="&amp;$B18,tblSales[Order Date],"&lt;"&amp;EDATE($B18,1),tblSales[Order Status],"&lt;&gt;Cancelled")</f>
        <v>9404</v>
      </c>
      <c r="F18" s="11">
        <f>SUMIFS(tblSales[Order Total],tblSales[Order Date],"&gt;="&amp;$B18,tblSales[Order Date],"&lt;"&amp;EDATE($B18,1),tblSales[Order Status],"&lt;&gt;Cancelled",tblSales[Payment Status],"Paid")</f>
        <v>3824</v>
      </c>
      <c r="G18" s="11">
        <f>SUMIFS(tblSales[Order Total],tblSales[Order Date],"&gt;="&amp;$B18,tblSales[Order Date],"&lt;"&amp;EDATE($B18,1),tblSales[Order Status],"&lt;&gt;Cancelled",tblSales[Payment Status],"Pending")</f>
        <v>5580</v>
      </c>
    </row>
    <row r="19" spans="2:13" ht="14.4" x14ac:dyDescent="0.3">
      <c r="B19" s="58">
        <f t="shared" si="0"/>
        <v>46174</v>
      </c>
      <c r="C19" s="58"/>
      <c r="D19" s="10">
        <f>COUNTIFS(tblSales[Order Date],"&gt;="&amp;$B19,tblSales[Order Date],"&lt;"&amp;EDATE($B19,1),tblSales[Order Status],"&lt;&gt;Cancelled")</f>
        <v>14</v>
      </c>
      <c r="E19" s="11">
        <f>SUMIFS(tblSales[Order Total],tblSales[Order Date],"&gt;="&amp;$B19,tblSales[Order Date],"&lt;"&amp;EDATE($B19,1),tblSales[Order Status],"&lt;&gt;Cancelled")</f>
        <v>18547</v>
      </c>
      <c r="F19" s="11">
        <f>SUMIFS(tblSales[Order Total],tblSales[Order Date],"&gt;="&amp;$B19,tblSales[Order Date],"&lt;"&amp;EDATE($B19,1),tblSales[Order Status],"&lt;&gt;Cancelled",tblSales[Payment Status],"Paid")</f>
        <v>15307</v>
      </c>
      <c r="G19" s="11">
        <f>SUMIFS(tblSales[Order Total],tblSales[Order Date],"&gt;="&amp;$B19,tblSales[Order Date],"&lt;"&amp;EDATE($B19,1),tblSales[Order Status],"&lt;&gt;Cancelled",tblSales[Payment Status],"Pending")</f>
        <v>3240</v>
      </c>
    </row>
    <row r="20" spans="2:13" ht="14.4" x14ac:dyDescent="0.3">
      <c r="B20" s="58">
        <f t="shared" si="0"/>
        <v>46204</v>
      </c>
      <c r="C20" s="58"/>
      <c r="D20" s="10">
        <f>COUNTIFS(tblSales[Order Date],"&gt;="&amp;$B20,tblSales[Order Date],"&lt;"&amp;EDATE($B20,1),tblSales[Order Status],"&lt;&gt;Cancelled")</f>
        <v>17</v>
      </c>
      <c r="E20" s="11">
        <f>SUMIFS(tblSales[Order Total],tblSales[Order Date],"&gt;="&amp;$B20,tblSales[Order Date],"&lt;"&amp;EDATE($B20,1),tblSales[Order Status],"&lt;&gt;Cancelled")</f>
        <v>12099</v>
      </c>
      <c r="F20" s="11">
        <f>SUMIFS(tblSales[Order Total],tblSales[Order Date],"&gt;="&amp;$B20,tblSales[Order Date],"&lt;"&amp;EDATE($B20,1),tblSales[Order Status],"&lt;&gt;Cancelled",tblSales[Payment Status],"Paid")</f>
        <v>10659</v>
      </c>
      <c r="G20" s="11">
        <f>SUMIFS(tblSales[Order Total],tblSales[Order Date],"&gt;="&amp;$B20,tblSales[Order Date],"&lt;"&amp;EDATE($B20,1),tblSales[Order Status],"&lt;&gt;Cancelled",tblSales[Payment Status],"Pending")</f>
        <v>1440</v>
      </c>
    </row>
    <row r="21" spans="2:13" ht="14.4" x14ac:dyDescent="0.3">
      <c r="B21" s="58">
        <f t="shared" si="0"/>
        <v>46235</v>
      </c>
      <c r="C21" s="58"/>
      <c r="D21" s="10">
        <f>COUNTIFS(tblSales[Order Date],"&gt;="&amp;$B21,tblSales[Order Date],"&lt;"&amp;EDATE($B21,1),tblSales[Order Status],"&lt;&gt;Cancelled")</f>
        <v>16</v>
      </c>
      <c r="E21" s="11">
        <f>SUMIFS(tblSales[Order Total],tblSales[Order Date],"&gt;="&amp;$B21,tblSales[Order Date],"&lt;"&amp;EDATE($B21,1),tblSales[Order Status],"&lt;&gt;Cancelled")</f>
        <v>12754</v>
      </c>
      <c r="F21" s="11">
        <f>SUMIFS(tblSales[Order Total],tblSales[Order Date],"&gt;="&amp;$B21,tblSales[Order Date],"&lt;"&amp;EDATE($B21,1),tblSales[Order Status],"&lt;&gt;Cancelled",tblSales[Payment Status],"Paid")</f>
        <v>10154</v>
      </c>
      <c r="G21" s="11">
        <f>SUMIFS(tblSales[Order Total],tblSales[Order Date],"&gt;="&amp;$B21,tblSales[Order Date],"&lt;"&amp;EDATE($B21,1),tblSales[Order Status],"&lt;&gt;Cancelled",tblSales[Payment Status],"Pending")</f>
        <v>2600</v>
      </c>
    </row>
    <row r="22" spans="2:13" ht="14.4" x14ac:dyDescent="0.3">
      <c r="B22" s="58">
        <f t="shared" si="0"/>
        <v>46266</v>
      </c>
      <c r="C22" s="58"/>
      <c r="D22" s="10">
        <f>COUNTIFS(tblSales[Order Date],"&gt;="&amp;$B22,tblSales[Order Date],"&lt;"&amp;EDATE($B22,1),tblSales[Order Status],"&lt;&gt;Cancelled")</f>
        <v>19</v>
      </c>
      <c r="E22" s="11">
        <f>SUMIFS(tblSales[Order Total],tblSales[Order Date],"&gt;="&amp;$B22,tblSales[Order Date],"&lt;"&amp;EDATE($B22,1),tblSales[Order Status],"&lt;&gt;Cancelled")</f>
        <v>15910</v>
      </c>
      <c r="F22" s="11">
        <f>SUMIFS(tblSales[Order Total],tblSales[Order Date],"&gt;="&amp;$B22,tblSales[Order Date],"&lt;"&amp;EDATE($B22,1),tblSales[Order Status],"&lt;&gt;Cancelled",tblSales[Payment Status],"Paid")</f>
        <v>11600</v>
      </c>
      <c r="G22" s="11">
        <f>SUMIFS(tblSales[Order Total],tblSales[Order Date],"&gt;="&amp;$B22,tblSales[Order Date],"&lt;"&amp;EDATE($B22,1),tblSales[Order Status],"&lt;&gt;Cancelled",tblSales[Payment Status],"Pending")</f>
        <v>4310</v>
      </c>
    </row>
    <row r="23" spans="2:13" ht="14.4" x14ac:dyDescent="0.3">
      <c r="B23" s="65" t="s">
        <v>104</v>
      </c>
      <c r="C23" s="65"/>
      <c r="D23" s="13">
        <f>SUM(D11:D22)</f>
        <v>161</v>
      </c>
      <c r="E23" s="14">
        <f>SUM(E11:E22)</f>
        <v>129906</v>
      </c>
      <c r="F23" s="14">
        <f>SUM(F11:F22)</f>
        <v>112736</v>
      </c>
      <c r="G23" s="14">
        <f>SUM(G11:G22)</f>
        <v>17170</v>
      </c>
    </row>
    <row r="24" spans="2:13" ht="14.4" x14ac:dyDescent="0.3">
      <c r="B24" s="72" t="str">
        <f>IF(ABS(E23-B6)&lt;0.005,"✓ Monthly total matches Total Revenue","⚠ Some orders fall outside the 12 months shown (check the first-month setting on START_HERE)")</f>
        <v>✓ Monthly total matches Total Revenue</v>
      </c>
      <c r="C24" s="72"/>
      <c r="D24" s="72"/>
      <c r="E24" s="72"/>
      <c r="F24" s="72"/>
      <c r="G24" s="72"/>
    </row>
    <row r="26" spans="2:13" ht="19.95" customHeight="1" x14ac:dyDescent="0.3">
      <c r="B26" s="46" t="s">
        <v>105</v>
      </c>
      <c r="C26" s="46"/>
      <c r="D26" s="46"/>
      <c r="E26" s="46"/>
      <c r="F26" s="46"/>
      <c r="G26" s="46"/>
      <c r="H26" s="46"/>
      <c r="I26" s="46"/>
      <c r="J26" s="46"/>
      <c r="K26" s="46"/>
      <c r="L26" s="46"/>
      <c r="M26" s="46"/>
    </row>
    <row r="27" spans="2:13" ht="19.95" customHeight="1" x14ac:dyDescent="0.3">
      <c r="B27" s="68" t="s">
        <v>106</v>
      </c>
      <c r="C27" s="68"/>
      <c r="D27" s="4" t="s">
        <v>100</v>
      </c>
      <c r="E27" s="4" t="s">
        <v>107</v>
      </c>
      <c r="F27" s="4" t="s">
        <v>108</v>
      </c>
      <c r="G27" s="4" t="s">
        <v>109</v>
      </c>
    </row>
    <row r="28" spans="2:13" ht="14.4" x14ac:dyDescent="0.3">
      <c r="B28" s="63" t="str">
        <f>IFERROR(INDEX(tblProducts[Product],1),"")</f>
        <v>Starter Template Pack</v>
      </c>
      <c r="C28" s="63"/>
      <c r="D28" s="10">
        <f>COUNTIFS(tblSales[Product],$B28,tblSales[Order Status],"&lt;&gt;Cancelled")</f>
        <v>23</v>
      </c>
      <c r="E28" s="11">
        <f>SUMIFS(tblSales[Order Total],tblSales[Product],$B28,tblSales[Order Status],"&lt;&gt;Cancelled")</f>
        <v>3871</v>
      </c>
      <c r="F28" s="16">
        <f t="shared" ref="F28:F35" si="1">IF($E$36=0,0,E28/$E$36)</f>
        <v>2.979846966267917E-2</v>
      </c>
      <c r="G28" s="11">
        <f t="shared" ref="G28:G36" si="2">IF(D28=0,0,E28/D28)</f>
        <v>168.30434782608697</v>
      </c>
    </row>
    <row r="29" spans="2:13" ht="14.4" x14ac:dyDescent="0.3">
      <c r="B29" s="63" t="str">
        <f>IFERROR(INDEX(tblProducts[Product],2),"")</f>
        <v>Pro Dashboard Suite</v>
      </c>
      <c r="C29" s="63"/>
      <c r="D29" s="10">
        <f>COUNTIFS(tblSales[Product],$B29,tblSales[Order Status],"&lt;&gt;Cancelled")</f>
        <v>15</v>
      </c>
      <c r="E29" s="11">
        <f>SUMIFS(tblSales[Order Total],tblSales[Product],$B29,tblSales[Order Status],"&lt;&gt;Cancelled")</f>
        <v>5215</v>
      </c>
      <c r="F29" s="16">
        <f t="shared" si="1"/>
        <v>4.0144412113374286E-2</v>
      </c>
      <c r="G29" s="11">
        <f t="shared" si="2"/>
        <v>347.66666666666669</v>
      </c>
    </row>
    <row r="30" spans="2:13" ht="14.4" x14ac:dyDescent="0.3">
      <c r="B30" s="63" t="str">
        <f>IFERROR(INDEX(tblProducts[Product],3),"")</f>
        <v>Strategy Session (1 hr)</v>
      </c>
      <c r="C30" s="63"/>
      <c r="D30" s="10">
        <f>COUNTIFS(tblSales[Product],$B30,tblSales[Order Status],"&lt;&gt;Cancelled")</f>
        <v>28</v>
      </c>
      <c r="E30" s="11">
        <f>SUMIFS(tblSales[Order Total],tblSales[Product],$B30,tblSales[Order Status],"&lt;&gt;Cancelled")</f>
        <v>13140</v>
      </c>
      <c r="F30" s="16">
        <f t="shared" si="1"/>
        <v>0.10115006235277817</v>
      </c>
      <c r="G30" s="11">
        <f t="shared" si="2"/>
        <v>469.28571428571428</v>
      </c>
    </row>
    <row r="31" spans="2:13" ht="14.4" x14ac:dyDescent="0.3">
      <c r="B31" s="63" t="str">
        <f>IFERROR(INDEX(tblProducts[Product],4),"")</f>
        <v>Monthly Advisory Retainer</v>
      </c>
      <c r="C31" s="63"/>
      <c r="D31" s="10">
        <f>COUNTIFS(tblSales[Product],$B31,tblSales[Order Status],"&lt;&gt;Cancelled")</f>
        <v>11</v>
      </c>
      <c r="E31" s="11">
        <f>SUMIFS(tblSales[Order Total],tblSales[Product],$B31,tblSales[Order Status],"&lt;&gt;Cancelled")</f>
        <v>20800</v>
      </c>
      <c r="F31" s="16">
        <f t="shared" si="1"/>
        <v>0.16011577602266255</v>
      </c>
      <c r="G31" s="11">
        <f t="shared" si="2"/>
        <v>1890.909090909091</v>
      </c>
    </row>
    <row r="32" spans="2:13" ht="14.4" x14ac:dyDescent="0.3">
      <c r="B32" s="63" t="str">
        <f>IFERROR(INDEX(tblProducts[Product],5),"")</f>
        <v>Excel Workshop (Team)</v>
      </c>
      <c r="C32" s="63"/>
      <c r="D32" s="10">
        <f>COUNTIFS(tblSales[Product],$B32,tblSales[Order Status],"&lt;&gt;Cancelled")</f>
        <v>16</v>
      </c>
      <c r="E32" s="11">
        <f>SUMIFS(tblSales[Order Total],tblSales[Product],$B32,tblSales[Order Status],"&lt;&gt;Cancelled")</f>
        <v>30600</v>
      </c>
      <c r="F32" s="16">
        <f t="shared" si="1"/>
        <v>0.23555493972564778</v>
      </c>
      <c r="G32" s="11">
        <f t="shared" si="2"/>
        <v>1912.5</v>
      </c>
    </row>
    <row r="33" spans="2:13" ht="14.4" x14ac:dyDescent="0.3">
      <c r="B33" s="63" t="str">
        <f>IFERROR(INDEX(tblProducts[Product],6),"")</f>
        <v>Online Course Seat</v>
      </c>
      <c r="C33" s="63"/>
      <c r="D33" s="10">
        <f>COUNTIFS(tblSales[Product],$B33,tblSales[Order Status],"&lt;&gt;Cancelled")</f>
        <v>25</v>
      </c>
      <c r="E33" s="11">
        <f>SUMIFS(tblSales[Order Total],tblSales[Product],$B33,tblSales[Order Status],"&lt;&gt;Cancelled")</f>
        <v>20520</v>
      </c>
      <c r="F33" s="16">
        <f t="shared" si="1"/>
        <v>0.15796037134543439</v>
      </c>
      <c r="G33" s="11">
        <f t="shared" si="2"/>
        <v>820.8</v>
      </c>
    </row>
    <row r="34" spans="2:13" ht="14.4" x14ac:dyDescent="0.3">
      <c r="B34" s="63" t="str">
        <f>IFERROR(INDEX(tblProducts[Product],7),"")</f>
        <v>Setup &amp; Onboarding</v>
      </c>
      <c r="C34" s="63"/>
      <c r="D34" s="10">
        <f>COUNTIFS(tblSales[Product],$B34,tblSales[Order Status],"&lt;&gt;Cancelled")</f>
        <v>13</v>
      </c>
      <c r="E34" s="11">
        <f>SUMIFS(tblSales[Order Total],tblSales[Product],$B34,tblSales[Order Status],"&lt;&gt;Cancelled")</f>
        <v>8400</v>
      </c>
      <c r="F34" s="16">
        <f t="shared" si="1"/>
        <v>6.4662140316844488E-2</v>
      </c>
      <c r="G34" s="11">
        <f t="shared" si="2"/>
        <v>646.15384615384619</v>
      </c>
    </row>
    <row r="35" spans="2:13" ht="14.4" x14ac:dyDescent="0.3">
      <c r="B35" s="63" t="str">
        <f>IFERROR(INDEX(tblProducts[Product],8),"")</f>
        <v>Priority Support Plan</v>
      </c>
      <c r="C35" s="63"/>
      <c r="D35" s="10">
        <f>COUNTIFS(tblSales[Product],$B35,tblSales[Order Status],"&lt;&gt;Cancelled")</f>
        <v>30</v>
      </c>
      <c r="E35" s="11">
        <f>SUMIFS(tblSales[Order Total],tblSales[Product],$B35,tblSales[Order Status],"&lt;&gt;Cancelled")</f>
        <v>27360</v>
      </c>
      <c r="F35" s="16">
        <f t="shared" si="1"/>
        <v>0.21061382846057919</v>
      </c>
      <c r="G35" s="11">
        <f t="shared" si="2"/>
        <v>912</v>
      </c>
    </row>
    <row r="36" spans="2:13" ht="14.4" x14ac:dyDescent="0.3">
      <c r="B36" s="65" t="s">
        <v>110</v>
      </c>
      <c r="C36" s="65"/>
      <c r="D36" s="13">
        <f>SUM(D28:D35)</f>
        <v>161</v>
      </c>
      <c r="E36" s="14">
        <f>SUM(E28:E35)</f>
        <v>129906</v>
      </c>
      <c r="F36" s="17">
        <f>SUM(F28:F35)</f>
        <v>1</v>
      </c>
      <c r="G36" s="14">
        <f t="shared" si="2"/>
        <v>806.86956521739125</v>
      </c>
    </row>
    <row r="37" spans="2:13" ht="14.4" x14ac:dyDescent="0.3">
      <c r="B37" s="72" t="str">
        <f>IF(ABS(E36-B6)&lt;0.005,"✓ Product total matches Total Revenue","⚠ Some orders use a product that is not in tblProducts")</f>
        <v>✓ Product total matches Total Revenue</v>
      </c>
      <c r="C37" s="72"/>
      <c r="D37" s="72"/>
      <c r="E37" s="72"/>
      <c r="F37" s="72"/>
      <c r="G37" s="72"/>
    </row>
    <row r="40" spans="2:13" ht="19.95" customHeight="1" x14ac:dyDescent="0.3">
      <c r="B40" s="46" t="s">
        <v>111</v>
      </c>
      <c r="C40" s="46"/>
      <c r="D40" s="46"/>
      <c r="E40" s="46"/>
      <c r="F40" s="46"/>
      <c r="G40" s="46"/>
      <c r="H40" s="46"/>
      <c r="I40" s="46"/>
      <c r="J40" s="46"/>
      <c r="K40" s="46"/>
      <c r="L40" s="46"/>
      <c r="M40" s="46"/>
    </row>
    <row r="41" spans="2:13" ht="19.95" customHeight="1" x14ac:dyDescent="0.3">
      <c r="B41" s="68" t="s">
        <v>112</v>
      </c>
      <c r="C41" s="68"/>
      <c r="D41" s="4" t="s">
        <v>100</v>
      </c>
      <c r="E41" s="4" t="s">
        <v>107</v>
      </c>
      <c r="F41" s="4" t="s">
        <v>108</v>
      </c>
      <c r="G41" s="4" t="s">
        <v>109</v>
      </c>
    </row>
    <row r="42" spans="2:13" ht="14.4" x14ac:dyDescent="0.3">
      <c r="B42" s="63" t="s">
        <v>113</v>
      </c>
      <c r="C42" s="63"/>
      <c r="D42" s="10">
        <f>COUNTIFS(tblSales[Category],$B42,tblSales[Order Status],"&lt;&gt;Cancelled")</f>
        <v>38</v>
      </c>
      <c r="E42" s="11">
        <f>SUMIFS(tblSales[Order Total],tblSales[Category],$B42,tblSales[Order Status],"&lt;&gt;Cancelled")</f>
        <v>9086</v>
      </c>
      <c r="F42" s="16">
        <f>IF($E$46=0,0,E42/$E$46)</f>
        <v>6.9942881776053456E-2</v>
      </c>
      <c r="G42" s="11">
        <f>IF(D42=0,0,E42/D42)</f>
        <v>239.10526315789474</v>
      </c>
    </row>
    <row r="43" spans="2:13" ht="14.4" x14ac:dyDescent="0.3">
      <c r="B43" s="63" t="s">
        <v>114</v>
      </c>
      <c r="C43" s="63"/>
      <c r="D43" s="10">
        <f>COUNTIFS(tblSales[Category],$B43,tblSales[Order Status],"&lt;&gt;Cancelled")</f>
        <v>39</v>
      </c>
      <c r="E43" s="11">
        <f>SUMIFS(tblSales[Order Total],tblSales[Category],$B43,tblSales[Order Status],"&lt;&gt;Cancelled")</f>
        <v>33940</v>
      </c>
      <c r="F43" s="16">
        <f>IF($E$46=0,0,E43/$E$46)</f>
        <v>0.26126583837544071</v>
      </c>
      <c r="G43" s="11">
        <f>IF(D43=0,0,E43/D43)</f>
        <v>870.25641025641028</v>
      </c>
    </row>
    <row r="44" spans="2:13" ht="14.4" x14ac:dyDescent="0.3">
      <c r="B44" s="63" t="s">
        <v>115</v>
      </c>
      <c r="C44" s="63"/>
      <c r="D44" s="10">
        <f>COUNTIFS(tblSales[Category],$B44,tblSales[Order Status],"&lt;&gt;Cancelled")</f>
        <v>41</v>
      </c>
      <c r="E44" s="11">
        <f>SUMIFS(tblSales[Order Total],tblSales[Category],$B44,tblSales[Order Status],"&lt;&gt;Cancelled")</f>
        <v>51120</v>
      </c>
      <c r="F44" s="16">
        <f>IF($E$46=0,0,E44/$E$46)</f>
        <v>0.39351531107108217</v>
      </c>
      <c r="G44" s="11">
        <f>IF(D44=0,0,E44/D44)</f>
        <v>1246.8292682926829</v>
      </c>
    </row>
    <row r="45" spans="2:13" ht="14.4" x14ac:dyDescent="0.3">
      <c r="B45" s="63" t="s">
        <v>116</v>
      </c>
      <c r="C45" s="63"/>
      <c r="D45" s="10">
        <f>COUNTIFS(tblSales[Category],$B45,tblSales[Order Status],"&lt;&gt;Cancelled")</f>
        <v>43</v>
      </c>
      <c r="E45" s="11">
        <f>SUMIFS(tblSales[Order Total],tblSales[Category],$B45,tblSales[Order Status],"&lt;&gt;Cancelled")</f>
        <v>35760</v>
      </c>
      <c r="F45" s="16">
        <f>IF($E$46=0,0,E45/$E$46)</f>
        <v>0.27527596877742366</v>
      </c>
      <c r="G45" s="11">
        <f>IF(D45=0,0,E45/D45)</f>
        <v>831.62790697674416</v>
      </c>
    </row>
    <row r="46" spans="2:13" ht="14.4" x14ac:dyDescent="0.3">
      <c r="B46" s="65" t="s">
        <v>110</v>
      </c>
      <c r="C46" s="65"/>
      <c r="D46" s="13">
        <f>SUM(D42:D45)</f>
        <v>161</v>
      </c>
      <c r="E46" s="14">
        <f>SUM(E42:E45)</f>
        <v>129906</v>
      </c>
      <c r="F46" s="17">
        <f>SUM(F42:F45)</f>
        <v>1</v>
      </c>
      <c r="G46" s="14">
        <f>IF(D46=0,0,E46/D46)</f>
        <v>806.86956521739125</v>
      </c>
    </row>
    <row r="48" spans="2:13" ht="19.95" customHeight="1" x14ac:dyDescent="0.3">
      <c r="B48" s="68" t="s">
        <v>117</v>
      </c>
      <c r="C48" s="68"/>
      <c r="D48" s="4" t="s">
        <v>100</v>
      </c>
      <c r="E48" s="4" t="s">
        <v>107</v>
      </c>
      <c r="F48" s="4" t="s">
        <v>108</v>
      </c>
    </row>
    <row r="49" spans="2:13" ht="14.4" x14ac:dyDescent="0.3">
      <c r="B49" s="63" t="s">
        <v>102</v>
      </c>
      <c r="C49" s="63"/>
      <c r="D49" s="10">
        <f>COUNTIFS(tblSales[Payment Status],$B49,tblSales[Order Status],"&lt;&gt;Cancelled")</f>
        <v>148</v>
      </c>
      <c r="E49" s="11">
        <f>SUMIFS(tblSales[Order Total],tblSales[Payment Status],$B49,tblSales[Order Status],"&lt;&gt;Cancelled")</f>
        <v>112736</v>
      </c>
      <c r="F49" s="16">
        <f>IF($E$51=0,0,E49/$E$51)</f>
        <v>0.86782750604283099</v>
      </c>
    </row>
    <row r="50" spans="2:13" ht="14.4" x14ac:dyDescent="0.3">
      <c r="B50" s="63" t="s">
        <v>103</v>
      </c>
      <c r="C50" s="63"/>
      <c r="D50" s="10">
        <f>COUNTIFS(tblSales[Payment Status],$B50,tblSales[Order Status],"&lt;&gt;Cancelled")</f>
        <v>13</v>
      </c>
      <c r="E50" s="11">
        <f>SUMIFS(tblSales[Order Total],tblSales[Payment Status],$B50,tblSales[Order Status],"&lt;&gt;Cancelled")</f>
        <v>17170</v>
      </c>
      <c r="F50" s="16">
        <f>IF($E$51=0,0,E50/$E$51)</f>
        <v>0.13217249395716904</v>
      </c>
    </row>
    <row r="51" spans="2:13" ht="14.4" x14ac:dyDescent="0.3">
      <c r="B51" s="65" t="s">
        <v>118</v>
      </c>
      <c r="C51" s="65"/>
      <c r="D51" s="13">
        <f>SUM(D49:D50)</f>
        <v>161</v>
      </c>
      <c r="E51" s="14">
        <f>SUM(E49:E50)</f>
        <v>129906</v>
      </c>
      <c r="F51" s="17">
        <f>SUM(F49:F50)</f>
        <v>1</v>
      </c>
      <c r="G51" s="18"/>
    </row>
    <row r="52" spans="2:13" ht="14.4" x14ac:dyDescent="0.3">
      <c r="B52" s="69" t="s">
        <v>119</v>
      </c>
      <c r="C52" s="63"/>
      <c r="D52" s="19">
        <f>COUNTIFS(tblSales[Order Status],"Cancelled")</f>
        <v>8</v>
      </c>
      <c r="E52" s="20">
        <f>SUMIFS(tblSales[Order Total],tblSales[Order Status],"Cancelled")</f>
        <v>6889</v>
      </c>
    </row>
    <row r="55" spans="2:13" ht="19.95" customHeight="1" x14ac:dyDescent="0.3">
      <c r="B55" s="46" t="s">
        <v>120</v>
      </c>
      <c r="C55" s="46"/>
      <c r="D55" s="46"/>
      <c r="E55" s="46"/>
      <c r="F55" s="46"/>
      <c r="G55" s="46"/>
      <c r="H55" s="46"/>
      <c r="I55" s="46"/>
      <c r="J55" s="46"/>
      <c r="K55" s="46"/>
      <c r="L55" s="46"/>
      <c r="M55" s="46"/>
    </row>
    <row r="56" spans="2:13" ht="19.95" customHeight="1" x14ac:dyDescent="0.3">
      <c r="B56" s="68" t="s">
        <v>121</v>
      </c>
      <c r="C56" s="68"/>
      <c r="D56" s="4" t="s">
        <v>100</v>
      </c>
      <c r="E56" s="4" t="s">
        <v>122</v>
      </c>
    </row>
    <row r="57" spans="2:13" ht="14.4" x14ac:dyDescent="0.3">
      <c r="B57" s="63" t="s">
        <v>123</v>
      </c>
      <c r="C57" s="63"/>
      <c r="D57" s="10">
        <f>COUNTIFS(tblSales[Order Status],$B57)</f>
        <v>152</v>
      </c>
      <c r="E57" s="16">
        <f>IF($D$61=0,0,D57/$D$61)</f>
        <v>0.89940828402366868</v>
      </c>
    </row>
    <row r="58" spans="2:13" ht="14.4" x14ac:dyDescent="0.3">
      <c r="B58" s="63" t="s">
        <v>124</v>
      </c>
      <c r="C58" s="63"/>
      <c r="D58" s="10">
        <f>COUNTIFS(tblSales[Order Status],$B58)</f>
        <v>3</v>
      </c>
      <c r="E58" s="16">
        <f>IF($D$61=0,0,D58/$D$61)</f>
        <v>1.7751479289940829E-2</v>
      </c>
    </row>
    <row r="59" spans="2:13" ht="14.4" x14ac:dyDescent="0.3">
      <c r="B59" s="63" t="s">
        <v>125</v>
      </c>
      <c r="C59" s="63"/>
      <c r="D59" s="10">
        <f>COUNTIFS(tblSales[Order Status],$B59)</f>
        <v>6</v>
      </c>
      <c r="E59" s="16">
        <f>IF($D$61=0,0,D59/$D$61)</f>
        <v>3.5502958579881658E-2</v>
      </c>
    </row>
    <row r="60" spans="2:13" ht="14.4" x14ac:dyDescent="0.3">
      <c r="B60" s="63" t="s">
        <v>126</v>
      </c>
      <c r="C60" s="63"/>
      <c r="D60" s="10">
        <f>COUNTIFS(tblSales[Order Status],$B60)</f>
        <v>8</v>
      </c>
      <c r="E60" s="16">
        <f>IF($D$61=0,0,D60/$D$61)</f>
        <v>4.7337278106508875E-2</v>
      </c>
    </row>
    <row r="61" spans="2:13" ht="14.4" x14ac:dyDescent="0.3">
      <c r="B61" s="65" t="s">
        <v>127</v>
      </c>
      <c r="C61" s="65"/>
      <c r="D61" s="13">
        <f>SUM(D57:D60)</f>
        <v>169</v>
      </c>
      <c r="E61" s="17">
        <f>SUM(E57:E60)</f>
        <v>1</v>
      </c>
    </row>
    <row r="62" spans="2:13" ht="14.4" x14ac:dyDescent="0.3">
      <c r="B62" s="72" t="str">
        <f>IF(D61=COUNTA(tblSales[Order ID]),"✓ Every order has a recognised status","⚠ Some orders have a status not listed above")</f>
        <v>✓ Every order has a recognised status</v>
      </c>
      <c r="C62" s="72"/>
      <c r="D62" s="72"/>
      <c r="E62" s="72"/>
      <c r="F62" s="72"/>
      <c r="G62" s="72"/>
    </row>
    <row r="64" spans="2:13" ht="15" customHeight="1" x14ac:dyDescent="0.3">
      <c r="B64" s="73" t="s">
        <v>128</v>
      </c>
      <c r="C64" s="73"/>
      <c r="D64" s="73"/>
      <c r="E64" s="73"/>
      <c r="F64" s="73"/>
      <c r="G64" s="73"/>
    </row>
    <row r="65" spans="2:7" ht="25.95" customHeight="1" x14ac:dyDescent="0.3">
      <c r="B65" s="64" t="s">
        <v>129</v>
      </c>
      <c r="C65" s="64"/>
      <c r="D65" s="64"/>
      <c r="E65" s="64"/>
      <c r="F65" s="64"/>
      <c r="G65" s="64"/>
    </row>
    <row r="66" spans="2:7" ht="25.95" customHeight="1" x14ac:dyDescent="0.3">
      <c r="B66" s="64" t="s">
        <v>130</v>
      </c>
      <c r="C66" s="64"/>
      <c r="D66" s="64"/>
      <c r="E66" s="64"/>
      <c r="F66" s="64"/>
      <c r="G66" s="64"/>
    </row>
    <row r="67" spans="2:7" ht="25.95" customHeight="1" x14ac:dyDescent="0.3">
      <c r="B67" s="64" t="s">
        <v>131</v>
      </c>
      <c r="C67" s="64"/>
      <c r="D67" s="64"/>
      <c r="E67" s="64"/>
      <c r="F67" s="64"/>
      <c r="G67" s="64"/>
    </row>
  </sheetData>
  <mergeCells count="72">
    <mergeCell ref="B66:G66"/>
    <mergeCell ref="B5:C5"/>
    <mergeCell ref="B20:C20"/>
    <mergeCell ref="B51:C51"/>
    <mergeCell ref="D5:E5"/>
    <mergeCell ref="B45:C45"/>
    <mergeCell ref="B36:C36"/>
    <mergeCell ref="B32:C32"/>
    <mergeCell ref="B50:C50"/>
    <mergeCell ref="B41:C41"/>
    <mergeCell ref="B35:C35"/>
    <mergeCell ref="B62:G62"/>
    <mergeCell ref="B49:C49"/>
    <mergeCell ref="B6:C6"/>
    <mergeCell ref="B30:C30"/>
    <mergeCell ref="B15:C15"/>
    <mergeCell ref="B33:C33"/>
    <mergeCell ref="B61:C61"/>
    <mergeCell ref="B65:G65"/>
    <mergeCell ref="B14:C14"/>
    <mergeCell ref="B60:C60"/>
    <mergeCell ref="L5:M5"/>
    <mergeCell ref="B9:M9"/>
    <mergeCell ref="B17:C17"/>
    <mergeCell ref="B40:M40"/>
    <mergeCell ref="B57:C57"/>
    <mergeCell ref="B64:G64"/>
    <mergeCell ref="B55:M55"/>
    <mergeCell ref="B13:C13"/>
    <mergeCell ref="B24:G24"/>
    <mergeCell ref="B44:C44"/>
    <mergeCell ref="D7:E7"/>
    <mergeCell ref="B29:C29"/>
    <mergeCell ref="B58:C58"/>
    <mergeCell ref="H6:I6"/>
    <mergeCell ref="B11:C11"/>
    <mergeCell ref="J6:K6"/>
    <mergeCell ref="B37:G37"/>
    <mergeCell ref="B42:C42"/>
    <mergeCell ref="B23:C23"/>
    <mergeCell ref="H7:I7"/>
    <mergeCell ref="B19:C19"/>
    <mergeCell ref="B34:C34"/>
    <mergeCell ref="J7:K7"/>
    <mergeCell ref="B10:C10"/>
    <mergeCell ref="B28:C28"/>
    <mergeCell ref="B26:M26"/>
    <mergeCell ref="L6:M6"/>
    <mergeCell ref="B59:C59"/>
    <mergeCell ref="B67:G67"/>
    <mergeCell ref="B46:C46"/>
    <mergeCell ref="B22:C22"/>
    <mergeCell ref="F6:G6"/>
    <mergeCell ref="B31:C31"/>
    <mergeCell ref="B18:C18"/>
    <mergeCell ref="B27:C27"/>
    <mergeCell ref="B56:C56"/>
    <mergeCell ref="F7:G7"/>
    <mergeCell ref="B12:C12"/>
    <mergeCell ref="B43:C43"/>
    <mergeCell ref="D6:E6"/>
    <mergeCell ref="B52:C52"/>
    <mergeCell ref="B21:C21"/>
    <mergeCell ref="B48:C48"/>
    <mergeCell ref="B2:M2"/>
    <mergeCell ref="B16:C16"/>
    <mergeCell ref="L7:M7"/>
    <mergeCell ref="B7:C7"/>
    <mergeCell ref="J5:K5"/>
    <mergeCell ref="F5:G5"/>
    <mergeCell ref="B3:M3"/>
    <mergeCell ref="H5:I5"/>
  </mergeCells>
  <conditionalFormatting sqref="E28:E35">
    <cfRule type="dataBar" priority="1">
      <dataBar>
        <cfvo type="num" val="0"/>
        <cfvo type="max"/>
        <color rgb="FF9DB7D5"/>
      </dataBar>
    </cfRule>
  </conditionalFormatting>
  <printOptions horizontalCentered="1"/>
  <pageMargins left="0.4" right="0.4" top="0.5" bottom="0.5" header="0.5" footer="0.5"/>
  <pageSetup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A9D8F"/>
    <pageSetUpPr fitToPage="1"/>
  </sheetPr>
  <dimension ref="B1:O163"/>
  <sheetViews>
    <sheetView showGridLines="0" workbookViewId="0">
      <pane ySplit="8" topLeftCell="A9" activePane="bottomLeft" state="frozen"/>
      <selection pane="bottomLeft"/>
    </sheetView>
  </sheetViews>
  <sheetFormatPr defaultRowHeight="16.05" customHeight="1" x14ac:dyDescent="0.3"/>
  <cols>
    <col min="1" max="1" width="2" customWidth="1"/>
    <col min="2" max="2" width="12" customWidth="1"/>
    <col min="3" max="3" width="24" customWidth="1"/>
    <col min="4" max="4" width="26" customWidth="1"/>
    <col min="5" max="5" width="32" customWidth="1"/>
    <col min="6" max="6" width="13" customWidth="1"/>
    <col min="7" max="7" width="14" customWidth="1"/>
    <col min="8" max="8" width="16" customWidth="1"/>
    <col min="9" max="9" width="26" customWidth="1"/>
    <col min="10" max="10" width="3" customWidth="1"/>
    <col min="11" max="11" width="27" customWidth="1"/>
    <col min="12" max="14" width="13" customWidth="1"/>
    <col min="15" max="15" width="12" customWidth="1"/>
  </cols>
  <sheetData>
    <row r="1" spans="2:15" ht="34.049999999999997" customHeight="1" x14ac:dyDescent="0.3">
      <c r="B1" s="53" t="s">
        <v>132</v>
      </c>
      <c r="C1" s="53"/>
      <c r="D1" s="53"/>
      <c r="E1" s="53"/>
      <c r="F1" s="53"/>
      <c r="G1" s="53"/>
      <c r="H1" s="53"/>
      <c r="I1" s="53"/>
      <c r="J1" s="53"/>
      <c r="K1" s="53"/>
      <c r="L1" s="53"/>
      <c r="M1" s="53"/>
      <c r="N1" s="53"/>
      <c r="O1" s="53"/>
    </row>
    <row r="2" spans="2:15" ht="22.05" customHeight="1" x14ac:dyDescent="0.3">
      <c r="B2" s="51" t="s">
        <v>133</v>
      </c>
      <c r="C2" s="51"/>
      <c r="D2" s="51"/>
      <c r="E2" s="51"/>
      <c r="F2" s="51"/>
      <c r="G2" s="51"/>
      <c r="H2" s="51"/>
      <c r="I2" s="51"/>
      <c r="J2" s="51"/>
      <c r="K2" s="51"/>
      <c r="L2" s="51"/>
      <c r="M2" s="51"/>
      <c r="N2" s="51"/>
      <c r="O2" s="51"/>
    </row>
    <row r="3" spans="2:15" ht="6" customHeight="1" x14ac:dyDescent="0.3"/>
    <row r="4" spans="2:15" ht="18" customHeight="1" x14ac:dyDescent="0.3">
      <c r="B4" s="61" t="s">
        <v>134</v>
      </c>
      <c r="C4" s="62"/>
      <c r="D4" s="61" t="s">
        <v>135</v>
      </c>
      <c r="E4" s="62"/>
      <c r="F4" s="61" t="s">
        <v>136</v>
      </c>
      <c r="G4" s="62"/>
      <c r="H4" s="61" t="s">
        <v>137</v>
      </c>
      <c r="I4" s="62"/>
    </row>
    <row r="5" spans="2:15" ht="30" customHeight="1" x14ac:dyDescent="0.3">
      <c r="B5" s="66">
        <f>SUM(tblExpenses[Amount])</f>
        <v>96363.90999999996</v>
      </c>
      <c r="C5" s="67"/>
      <c r="D5" s="66">
        <f>SUMIFS(tblExpenses[Amount],tblExpenses[Payment Status],"Paid")</f>
        <v>91832.139999999956</v>
      </c>
      <c r="E5" s="67"/>
      <c r="F5" s="66">
        <f>SUMIFS(tblExpenses[Amount],tblExpenses[Payment Status],"Pending")</f>
        <v>4531.7700000000004</v>
      </c>
      <c r="G5" s="67"/>
      <c r="H5" s="70">
        <f>COUNT(tblExpenses[Amount])</f>
        <v>155</v>
      </c>
      <c r="I5" s="71"/>
    </row>
    <row r="6" spans="2:15" ht="16.05" customHeight="1" x14ac:dyDescent="0.3">
      <c r="B6" s="59" t="s">
        <v>138</v>
      </c>
      <c r="C6" s="60"/>
      <c r="D6" s="59" t="s">
        <v>139</v>
      </c>
      <c r="E6" s="60"/>
      <c r="F6" s="59" t="s">
        <v>140</v>
      </c>
      <c r="G6" s="60"/>
      <c r="H6" s="59" t="s">
        <v>141</v>
      </c>
      <c r="I6" s="60"/>
    </row>
    <row r="7" spans="2:15" ht="6" customHeight="1" x14ac:dyDescent="0.3"/>
    <row r="8" spans="2:15" ht="19.95" customHeight="1" x14ac:dyDescent="0.3">
      <c r="B8" s="21" t="s">
        <v>142</v>
      </c>
      <c r="C8" s="21" t="s">
        <v>143</v>
      </c>
      <c r="D8" s="21" t="s">
        <v>112</v>
      </c>
      <c r="E8" s="21" t="s">
        <v>144</v>
      </c>
      <c r="F8" s="21" t="s">
        <v>145</v>
      </c>
      <c r="G8" s="21" t="s">
        <v>117</v>
      </c>
      <c r="H8" s="21" t="s">
        <v>146</v>
      </c>
      <c r="I8" s="21" t="s">
        <v>147</v>
      </c>
      <c r="K8" s="3" t="s">
        <v>148</v>
      </c>
      <c r="L8" s="4" t="s">
        <v>110</v>
      </c>
      <c r="M8" s="4" t="s">
        <v>102</v>
      </c>
      <c r="N8" s="4" t="s">
        <v>103</v>
      </c>
      <c r="O8" s="4" t="s">
        <v>149</v>
      </c>
    </row>
    <row r="9" spans="2:15" ht="14.4" x14ac:dyDescent="0.3">
      <c r="B9" s="22">
        <v>45931</v>
      </c>
      <c r="C9" s="23" t="s">
        <v>150</v>
      </c>
      <c r="D9" s="23" t="s">
        <v>151</v>
      </c>
      <c r="E9" s="23" t="s">
        <v>152</v>
      </c>
      <c r="F9" s="24">
        <v>1500</v>
      </c>
      <c r="G9" s="25" t="s">
        <v>102</v>
      </c>
      <c r="H9" s="23" t="s">
        <v>153</v>
      </c>
      <c r="I9" s="23" t="s">
        <v>154</v>
      </c>
      <c r="K9" s="15" t="s">
        <v>151</v>
      </c>
      <c r="L9" s="11">
        <f>SUMIFS(tblExpenses[Amount],tblExpenses[Category],$K9)</f>
        <v>21266.43</v>
      </c>
      <c r="M9" s="11">
        <f>SUMIFS(tblExpenses[Amount],tblExpenses[Category],$K9,tblExpenses[Payment Status],"Paid")</f>
        <v>21266.43</v>
      </c>
      <c r="N9" s="11">
        <f>SUMIFS(tblExpenses[Amount],tblExpenses[Category],$K9,tblExpenses[Payment Status],"Pending")</f>
        <v>0</v>
      </c>
      <c r="O9" s="16">
        <f t="shared" ref="O9:O16" si="0">IF($L$17=0,0,L9/$L$17)</f>
        <v>0.22068874125178192</v>
      </c>
    </row>
    <row r="10" spans="2:15" ht="14.4" x14ac:dyDescent="0.3">
      <c r="B10" s="22">
        <v>45932</v>
      </c>
      <c r="C10" s="23" t="s">
        <v>155</v>
      </c>
      <c r="D10" s="23" t="s">
        <v>156</v>
      </c>
      <c r="E10" s="23" t="s">
        <v>157</v>
      </c>
      <c r="F10" s="24">
        <v>900</v>
      </c>
      <c r="G10" s="25" t="s">
        <v>102</v>
      </c>
      <c r="H10" s="23" t="s">
        <v>153</v>
      </c>
      <c r="I10" s="23" t="s">
        <v>158</v>
      </c>
      <c r="K10" s="15" t="s">
        <v>159</v>
      </c>
      <c r="L10" s="11">
        <f>SUMIFS(tblExpenses[Amount],tblExpenses[Category],$K10)</f>
        <v>3600</v>
      </c>
      <c r="M10" s="11">
        <f>SUMIFS(tblExpenses[Amount],tblExpenses[Category],$K10,tblExpenses[Payment Status],"Paid")</f>
        <v>3511</v>
      </c>
      <c r="N10" s="11">
        <f>SUMIFS(tblExpenses[Amount],tblExpenses[Category],$K10,tblExpenses[Payment Status],"Pending")</f>
        <v>89</v>
      </c>
      <c r="O10" s="16">
        <f t="shared" si="0"/>
        <v>3.7358384482323308E-2</v>
      </c>
    </row>
    <row r="11" spans="2:15" ht="14.4" x14ac:dyDescent="0.3">
      <c r="B11" s="22">
        <v>45933</v>
      </c>
      <c r="C11" s="23" t="s">
        <v>160</v>
      </c>
      <c r="D11" s="23" t="s">
        <v>159</v>
      </c>
      <c r="E11" s="23" t="s">
        <v>161</v>
      </c>
      <c r="F11" s="24">
        <v>132</v>
      </c>
      <c r="G11" s="25" t="s">
        <v>102</v>
      </c>
      <c r="H11" s="23" t="s">
        <v>162</v>
      </c>
      <c r="I11" s="23" t="s">
        <v>154</v>
      </c>
      <c r="K11" s="15" t="s">
        <v>163</v>
      </c>
      <c r="L11" s="11">
        <f>SUMIFS(tblExpenses[Amount],tblExpenses[Category],$K11)</f>
        <v>9980.34</v>
      </c>
      <c r="M11" s="11">
        <f>SUMIFS(tblExpenses[Amount],tblExpenses[Category],$K11,tblExpenses[Payment Status],"Paid")</f>
        <v>9437.57</v>
      </c>
      <c r="N11" s="11">
        <f>SUMIFS(tblExpenses[Amount],tblExpenses[Category],$K11,tblExpenses[Payment Status],"Pending")</f>
        <v>542.77</v>
      </c>
      <c r="O11" s="16">
        <f t="shared" si="0"/>
        <v>0.10356927194008628</v>
      </c>
    </row>
    <row r="12" spans="2:15" ht="14.4" x14ac:dyDescent="0.3">
      <c r="B12" s="22">
        <v>45933</v>
      </c>
      <c r="C12" s="23" t="s">
        <v>164</v>
      </c>
      <c r="D12" s="23" t="s">
        <v>159</v>
      </c>
      <c r="E12" s="23" t="s">
        <v>165</v>
      </c>
      <c r="F12" s="24">
        <v>79</v>
      </c>
      <c r="G12" s="25" t="s">
        <v>102</v>
      </c>
      <c r="H12" s="23" t="s">
        <v>162</v>
      </c>
      <c r="I12" s="23" t="s">
        <v>154</v>
      </c>
      <c r="K12" s="15" t="s">
        <v>156</v>
      </c>
      <c r="L12" s="11">
        <f>SUMIFS(tblExpenses[Amount],tblExpenses[Category],$K12)</f>
        <v>45450</v>
      </c>
      <c r="M12" s="11">
        <f>SUMIFS(tblExpenses[Amount],tblExpenses[Category],$K12,tblExpenses[Payment Status],"Paid")</f>
        <v>41550</v>
      </c>
      <c r="N12" s="11">
        <f>SUMIFS(tblExpenses[Amount],tblExpenses[Category],$K12,tblExpenses[Payment Status],"Pending")</f>
        <v>3900</v>
      </c>
      <c r="O12" s="16">
        <f t="shared" si="0"/>
        <v>0.47164960408933176</v>
      </c>
    </row>
    <row r="13" spans="2:15" ht="14.4" x14ac:dyDescent="0.3">
      <c r="B13" s="22">
        <v>45935</v>
      </c>
      <c r="C13" s="23" t="s">
        <v>166</v>
      </c>
      <c r="D13" s="23" t="s">
        <v>151</v>
      </c>
      <c r="E13" s="23" t="s">
        <v>167</v>
      </c>
      <c r="F13" s="24">
        <v>297.20999999999998</v>
      </c>
      <c r="G13" s="25" t="s">
        <v>102</v>
      </c>
      <c r="H13" s="23" t="s">
        <v>168</v>
      </c>
      <c r="I13" s="23"/>
      <c r="K13" s="15" t="s">
        <v>169</v>
      </c>
      <c r="L13" s="11">
        <f>SUMIFS(tblExpenses[Amount],tblExpenses[Category],$K13)</f>
        <v>1475.58</v>
      </c>
      <c r="M13" s="11">
        <f>SUMIFS(tblExpenses[Amount],tblExpenses[Category],$K13,tblExpenses[Payment Status],"Paid")</f>
        <v>1475.58</v>
      </c>
      <c r="N13" s="11">
        <f>SUMIFS(tblExpenses[Amount],tblExpenses[Category],$K13,tblExpenses[Payment Status],"Pending")</f>
        <v>0</v>
      </c>
      <c r="O13" s="16">
        <f t="shared" si="0"/>
        <v>1.5312579159562951E-2</v>
      </c>
    </row>
    <row r="14" spans="2:15" ht="14.4" x14ac:dyDescent="0.3">
      <c r="B14" s="22">
        <v>45938</v>
      </c>
      <c r="C14" s="23" t="s">
        <v>170</v>
      </c>
      <c r="D14" s="23" t="s">
        <v>159</v>
      </c>
      <c r="E14" s="23" t="s">
        <v>171</v>
      </c>
      <c r="F14" s="24">
        <v>89</v>
      </c>
      <c r="G14" s="25" t="s">
        <v>102</v>
      </c>
      <c r="H14" s="23" t="s">
        <v>162</v>
      </c>
      <c r="I14" s="23" t="s">
        <v>154</v>
      </c>
      <c r="K14" s="15" t="s">
        <v>172</v>
      </c>
      <c r="L14" s="11">
        <f>SUMIFS(tblExpenses[Amount],tblExpenses[Category],$K14)</f>
        <v>2850.84</v>
      </c>
      <c r="M14" s="11">
        <f>SUMIFS(tblExpenses[Amount],tblExpenses[Category],$K14,tblExpenses[Payment Status],"Paid")</f>
        <v>2850.84</v>
      </c>
      <c r="N14" s="11">
        <f>SUMIFS(tblExpenses[Amount],tblExpenses[Category],$K14,tblExpenses[Payment Status],"Pending")</f>
        <v>0</v>
      </c>
      <c r="O14" s="16">
        <f t="shared" si="0"/>
        <v>2.9584104671551828E-2</v>
      </c>
    </row>
    <row r="15" spans="2:15" ht="14.4" x14ac:dyDescent="0.3">
      <c r="B15" s="22">
        <v>45941</v>
      </c>
      <c r="C15" s="23" t="s">
        <v>173</v>
      </c>
      <c r="D15" s="23" t="s">
        <v>172</v>
      </c>
      <c r="E15" s="23" t="s">
        <v>174</v>
      </c>
      <c r="F15" s="24">
        <v>157.54</v>
      </c>
      <c r="G15" s="25" t="s">
        <v>102</v>
      </c>
      <c r="H15" s="23" t="s">
        <v>162</v>
      </c>
      <c r="I15" s="23"/>
      <c r="K15" s="15" t="s">
        <v>175</v>
      </c>
      <c r="L15" s="11">
        <f>SUMIFS(tblExpenses[Amount],tblExpenses[Category],$K15)</f>
        <v>2880</v>
      </c>
      <c r="M15" s="11">
        <f>SUMIFS(tblExpenses[Amount],tblExpenses[Category],$K15,tblExpenses[Payment Status],"Paid")</f>
        <v>2880</v>
      </c>
      <c r="N15" s="11">
        <f>SUMIFS(tblExpenses[Amount],tblExpenses[Category],$K15,tblExpenses[Payment Status],"Pending")</f>
        <v>0</v>
      </c>
      <c r="O15" s="16">
        <f t="shared" si="0"/>
        <v>2.9886707585858648E-2</v>
      </c>
    </row>
    <row r="16" spans="2:15" ht="14.4" x14ac:dyDescent="0.3">
      <c r="B16" s="22">
        <v>45941</v>
      </c>
      <c r="C16" s="23" t="s">
        <v>176</v>
      </c>
      <c r="D16" s="23" t="s">
        <v>169</v>
      </c>
      <c r="E16" s="23" t="s">
        <v>177</v>
      </c>
      <c r="F16" s="24">
        <v>152.66999999999999</v>
      </c>
      <c r="G16" s="25" t="s">
        <v>102</v>
      </c>
      <c r="H16" s="23" t="s">
        <v>162</v>
      </c>
      <c r="I16" s="23"/>
      <c r="K16" s="15" t="s">
        <v>178</v>
      </c>
      <c r="L16" s="11">
        <f>SUMIFS(tblExpenses[Amount],tblExpenses[Category],$K16)</f>
        <v>8860.7199999999993</v>
      </c>
      <c r="M16" s="11">
        <f>SUMIFS(tblExpenses[Amount],tblExpenses[Category],$K16,tblExpenses[Payment Status],"Paid")</f>
        <v>8860.7199999999993</v>
      </c>
      <c r="N16" s="11">
        <f>SUMIFS(tblExpenses[Amount],tblExpenses[Category],$K16,tblExpenses[Payment Status],"Pending")</f>
        <v>0</v>
      </c>
      <c r="O16" s="16">
        <f t="shared" si="0"/>
        <v>9.1950606819503261E-2</v>
      </c>
    </row>
    <row r="17" spans="2:15" ht="14.4" x14ac:dyDescent="0.3">
      <c r="B17" s="22">
        <v>45942</v>
      </c>
      <c r="C17" s="23" t="s">
        <v>179</v>
      </c>
      <c r="D17" s="23" t="s">
        <v>178</v>
      </c>
      <c r="E17" s="23" t="s">
        <v>180</v>
      </c>
      <c r="F17" s="24">
        <v>153.32</v>
      </c>
      <c r="G17" s="25" t="s">
        <v>102</v>
      </c>
      <c r="H17" s="23" t="s">
        <v>168</v>
      </c>
      <c r="I17" s="23"/>
      <c r="K17" s="12" t="s">
        <v>110</v>
      </c>
      <c r="L17" s="14">
        <f>SUM(L9:L16)</f>
        <v>96363.91</v>
      </c>
      <c r="M17" s="14">
        <f>SUM(M9:M16)</f>
        <v>91832.14</v>
      </c>
      <c r="N17" s="14">
        <f>SUM(N9:N16)</f>
        <v>4531.7700000000004</v>
      </c>
      <c r="O17" s="17">
        <f>SUM(O9:O16)</f>
        <v>1</v>
      </c>
    </row>
    <row r="18" spans="2:15" ht="14.4" x14ac:dyDescent="0.3">
      <c r="B18" s="22">
        <v>45944</v>
      </c>
      <c r="C18" s="23" t="s">
        <v>181</v>
      </c>
      <c r="D18" s="23" t="s">
        <v>163</v>
      </c>
      <c r="E18" s="23" t="s">
        <v>182</v>
      </c>
      <c r="F18" s="24">
        <v>917.28</v>
      </c>
      <c r="G18" s="25" t="s">
        <v>102</v>
      </c>
      <c r="H18" s="23" t="s">
        <v>162</v>
      </c>
      <c r="I18" s="23"/>
      <c r="K18" s="72" t="str">
        <f>IF(ABS(L17-B5)&lt;0.005,"✓ Category totals match Total Expenses","⚠ Some expenses use a category not listed here")</f>
        <v>✓ Category totals match Total Expenses</v>
      </c>
      <c r="L18" s="72"/>
      <c r="M18" s="72"/>
      <c r="N18" s="72"/>
      <c r="O18" s="72"/>
    </row>
    <row r="19" spans="2:15" ht="14.4" x14ac:dyDescent="0.3">
      <c r="B19" s="22">
        <v>45945</v>
      </c>
      <c r="C19" s="23" t="s">
        <v>183</v>
      </c>
      <c r="D19" s="23" t="s">
        <v>156</v>
      </c>
      <c r="E19" s="23" t="s">
        <v>184</v>
      </c>
      <c r="F19" s="24">
        <v>450</v>
      </c>
      <c r="G19" s="25" t="s">
        <v>102</v>
      </c>
      <c r="H19" s="23" t="s">
        <v>153</v>
      </c>
      <c r="I19" s="23"/>
    </row>
    <row r="20" spans="2:15" ht="19.95" customHeight="1" x14ac:dyDescent="0.3">
      <c r="B20" s="22">
        <v>45950</v>
      </c>
      <c r="C20" s="23" t="s">
        <v>185</v>
      </c>
      <c r="D20" s="23" t="s">
        <v>175</v>
      </c>
      <c r="E20" s="23" t="s">
        <v>186</v>
      </c>
      <c r="F20" s="24">
        <v>540</v>
      </c>
      <c r="G20" s="25" t="s">
        <v>102</v>
      </c>
      <c r="H20" s="23" t="s">
        <v>153</v>
      </c>
      <c r="I20" s="23"/>
      <c r="K20" s="3" t="s">
        <v>187</v>
      </c>
      <c r="L20" s="4" t="s">
        <v>110</v>
      </c>
      <c r="M20" s="4" t="s">
        <v>102</v>
      </c>
      <c r="N20" s="4" t="s">
        <v>103</v>
      </c>
    </row>
    <row r="21" spans="2:15" ht="14.4" x14ac:dyDescent="0.3">
      <c r="B21" s="22">
        <v>45958</v>
      </c>
      <c r="C21" s="23" t="s">
        <v>188</v>
      </c>
      <c r="D21" s="23" t="s">
        <v>156</v>
      </c>
      <c r="E21" s="23" t="s">
        <v>189</v>
      </c>
      <c r="F21" s="24">
        <v>2400</v>
      </c>
      <c r="G21" s="25" t="s">
        <v>102</v>
      </c>
      <c r="H21" s="23" t="s">
        <v>153</v>
      </c>
      <c r="I21" s="23" t="s">
        <v>154</v>
      </c>
      <c r="K21" s="9">
        <f>StartMonth</f>
        <v>45931</v>
      </c>
      <c r="L21" s="11">
        <f>SUMIFS(tblExpenses[Amount],tblExpenses[Date],"&gt;="&amp;$K21,tblExpenses[Date],"&lt;"&amp;EDATE($K21,1))</f>
        <v>7768.02</v>
      </c>
      <c r="M21" s="11">
        <f>SUMIFS(tblExpenses[Amount],tblExpenses[Date],"&gt;="&amp;$K21,tblExpenses[Date],"&lt;"&amp;EDATE($K21,1),tblExpenses[Payment Status],"Paid")</f>
        <v>7768.02</v>
      </c>
      <c r="N21" s="11">
        <f>SUMIFS(tblExpenses[Amount],tblExpenses[Date],"&gt;="&amp;$K21,tblExpenses[Date],"&lt;"&amp;EDATE($K21,1),tblExpenses[Payment Status],"Pending")</f>
        <v>0</v>
      </c>
    </row>
    <row r="22" spans="2:15" ht="14.4" x14ac:dyDescent="0.3">
      <c r="B22" s="22">
        <v>45962</v>
      </c>
      <c r="C22" s="23" t="s">
        <v>150</v>
      </c>
      <c r="D22" s="23" t="s">
        <v>151</v>
      </c>
      <c r="E22" s="23" t="s">
        <v>152</v>
      </c>
      <c r="F22" s="24">
        <v>1500</v>
      </c>
      <c r="G22" s="25" t="s">
        <v>102</v>
      </c>
      <c r="H22" s="23" t="s">
        <v>153</v>
      </c>
      <c r="I22" s="23" t="s">
        <v>154</v>
      </c>
      <c r="K22" s="9">
        <f t="shared" ref="K22:K32" si="1">EDATE(K21,1)</f>
        <v>45962</v>
      </c>
      <c r="L22" s="11">
        <f>SUMIFS(tblExpenses[Amount],tblExpenses[Date],"&gt;="&amp;$K22,tblExpenses[Date],"&lt;"&amp;EDATE($K22,1))</f>
        <v>7155.12</v>
      </c>
      <c r="M22" s="11">
        <f>SUMIFS(tblExpenses[Amount],tblExpenses[Date],"&gt;="&amp;$K22,tblExpenses[Date],"&lt;"&amp;EDATE($K22,1),tblExpenses[Payment Status],"Paid")</f>
        <v>7155.12</v>
      </c>
      <c r="N22" s="11">
        <f>SUMIFS(tblExpenses[Amount],tblExpenses[Date],"&gt;="&amp;$K22,tblExpenses[Date],"&lt;"&amp;EDATE($K22,1),tblExpenses[Payment Status],"Pending")</f>
        <v>0</v>
      </c>
    </row>
    <row r="23" spans="2:15" ht="14.4" x14ac:dyDescent="0.3">
      <c r="B23" s="22">
        <v>45963</v>
      </c>
      <c r="C23" s="23" t="s">
        <v>155</v>
      </c>
      <c r="D23" s="23" t="s">
        <v>156</v>
      </c>
      <c r="E23" s="23" t="s">
        <v>157</v>
      </c>
      <c r="F23" s="24">
        <v>900</v>
      </c>
      <c r="G23" s="25" t="s">
        <v>102</v>
      </c>
      <c r="H23" s="23" t="s">
        <v>153</v>
      </c>
      <c r="I23" s="23" t="s">
        <v>158</v>
      </c>
      <c r="K23" s="9">
        <f t="shared" si="1"/>
        <v>45992</v>
      </c>
      <c r="L23" s="11">
        <f>SUMIFS(tblExpenses[Amount],tblExpenses[Date],"&gt;="&amp;$K23,tblExpenses[Date],"&lt;"&amp;EDATE($K23,1))</f>
        <v>9389.9199999999983</v>
      </c>
      <c r="M23" s="11">
        <f>SUMIFS(tblExpenses[Amount],tblExpenses[Date],"&gt;="&amp;$K23,tblExpenses[Date],"&lt;"&amp;EDATE($K23,1),tblExpenses[Payment Status],"Paid")</f>
        <v>9389.9199999999983</v>
      </c>
      <c r="N23" s="11">
        <f>SUMIFS(tblExpenses[Amount],tblExpenses[Date],"&gt;="&amp;$K23,tblExpenses[Date],"&lt;"&amp;EDATE($K23,1),tblExpenses[Payment Status],"Pending")</f>
        <v>0</v>
      </c>
    </row>
    <row r="24" spans="2:15" ht="14.4" x14ac:dyDescent="0.3">
      <c r="B24" s="22">
        <v>45964</v>
      </c>
      <c r="C24" s="23" t="s">
        <v>160</v>
      </c>
      <c r="D24" s="23" t="s">
        <v>159</v>
      </c>
      <c r="E24" s="23" t="s">
        <v>161</v>
      </c>
      <c r="F24" s="24">
        <v>132</v>
      </c>
      <c r="G24" s="25" t="s">
        <v>102</v>
      </c>
      <c r="H24" s="23" t="s">
        <v>162</v>
      </c>
      <c r="I24" s="23" t="s">
        <v>154</v>
      </c>
      <c r="K24" s="9">
        <f t="shared" si="1"/>
        <v>46023</v>
      </c>
      <c r="L24" s="11">
        <f>SUMIFS(tblExpenses[Amount],tblExpenses[Date],"&gt;="&amp;$K24,tblExpenses[Date],"&lt;"&amp;EDATE($K24,1))</f>
        <v>7362.17</v>
      </c>
      <c r="M24" s="11">
        <f>SUMIFS(tblExpenses[Amount],tblExpenses[Date],"&gt;="&amp;$K24,tblExpenses[Date],"&lt;"&amp;EDATE($K24,1),tblExpenses[Payment Status],"Paid")</f>
        <v>7362.17</v>
      </c>
      <c r="N24" s="11">
        <f>SUMIFS(tblExpenses[Amount],tblExpenses[Date],"&gt;="&amp;$K24,tblExpenses[Date],"&lt;"&amp;EDATE($K24,1),tblExpenses[Payment Status],"Pending")</f>
        <v>0</v>
      </c>
    </row>
    <row r="25" spans="2:15" ht="14.4" x14ac:dyDescent="0.3">
      <c r="B25" s="22">
        <v>45964</v>
      </c>
      <c r="C25" s="23" t="s">
        <v>164</v>
      </c>
      <c r="D25" s="23" t="s">
        <v>159</v>
      </c>
      <c r="E25" s="23" t="s">
        <v>165</v>
      </c>
      <c r="F25" s="24">
        <v>79</v>
      </c>
      <c r="G25" s="25" t="s">
        <v>102</v>
      </c>
      <c r="H25" s="23" t="s">
        <v>162</v>
      </c>
      <c r="I25" s="23" t="s">
        <v>154</v>
      </c>
      <c r="K25" s="9">
        <f t="shared" si="1"/>
        <v>46054</v>
      </c>
      <c r="L25" s="11">
        <f>SUMIFS(tblExpenses[Amount],tblExpenses[Date],"&gt;="&amp;$K25,tblExpenses[Date],"&lt;"&amp;EDATE($K25,1))</f>
        <v>8305.57</v>
      </c>
      <c r="M25" s="11">
        <f>SUMIFS(tblExpenses[Amount],tblExpenses[Date],"&gt;="&amp;$K25,tblExpenses[Date],"&lt;"&amp;EDATE($K25,1),tblExpenses[Payment Status],"Paid")</f>
        <v>8305.57</v>
      </c>
      <c r="N25" s="11">
        <f>SUMIFS(tblExpenses[Amount],tblExpenses[Date],"&gt;="&amp;$K25,tblExpenses[Date],"&lt;"&amp;EDATE($K25,1),tblExpenses[Payment Status],"Pending")</f>
        <v>0</v>
      </c>
    </row>
    <row r="26" spans="2:15" ht="14.4" x14ac:dyDescent="0.3">
      <c r="B26" s="22">
        <v>45966</v>
      </c>
      <c r="C26" s="23" t="s">
        <v>166</v>
      </c>
      <c r="D26" s="23" t="s">
        <v>151</v>
      </c>
      <c r="E26" s="23" t="s">
        <v>167</v>
      </c>
      <c r="F26" s="24">
        <v>259.04000000000002</v>
      </c>
      <c r="G26" s="25" t="s">
        <v>102</v>
      </c>
      <c r="H26" s="23" t="s">
        <v>168</v>
      </c>
      <c r="I26" s="23"/>
      <c r="K26" s="9">
        <f t="shared" si="1"/>
        <v>46082</v>
      </c>
      <c r="L26" s="11">
        <f>SUMIFS(tblExpenses[Amount],tblExpenses[Date],"&gt;="&amp;$K26,tblExpenses[Date],"&lt;"&amp;EDATE($K26,1))</f>
        <v>9134.369999999999</v>
      </c>
      <c r="M26" s="11">
        <f>SUMIFS(tblExpenses[Amount],tblExpenses[Date],"&gt;="&amp;$K26,tblExpenses[Date],"&lt;"&amp;EDATE($K26,1),tblExpenses[Payment Status],"Paid")</f>
        <v>9134.369999999999</v>
      </c>
      <c r="N26" s="11">
        <f>SUMIFS(tblExpenses[Amount],tblExpenses[Date],"&gt;="&amp;$K26,tblExpenses[Date],"&lt;"&amp;EDATE($K26,1),tblExpenses[Payment Status],"Pending")</f>
        <v>0</v>
      </c>
    </row>
    <row r="27" spans="2:15" ht="14.4" x14ac:dyDescent="0.3">
      <c r="B27" s="22">
        <v>45969</v>
      </c>
      <c r="C27" s="23" t="s">
        <v>170</v>
      </c>
      <c r="D27" s="23" t="s">
        <v>159</v>
      </c>
      <c r="E27" s="23" t="s">
        <v>171</v>
      </c>
      <c r="F27" s="24">
        <v>89</v>
      </c>
      <c r="G27" s="25" t="s">
        <v>102</v>
      </c>
      <c r="H27" s="23" t="s">
        <v>162</v>
      </c>
      <c r="I27" s="23" t="s">
        <v>154</v>
      </c>
      <c r="K27" s="9">
        <f t="shared" si="1"/>
        <v>46113</v>
      </c>
      <c r="L27" s="11">
        <f>SUMIFS(tblExpenses[Amount],tblExpenses[Date],"&gt;="&amp;$K27,tblExpenses[Date],"&lt;"&amp;EDATE($K27,1))</f>
        <v>7384.89</v>
      </c>
      <c r="M27" s="11">
        <f>SUMIFS(tblExpenses[Amount],tblExpenses[Date],"&gt;="&amp;$K27,tblExpenses[Date],"&lt;"&amp;EDATE($K27,1),tblExpenses[Payment Status],"Paid")</f>
        <v>7384.89</v>
      </c>
      <c r="N27" s="11">
        <f>SUMIFS(tblExpenses[Amount],tblExpenses[Date],"&gt;="&amp;$K27,tblExpenses[Date],"&lt;"&amp;EDATE($K27,1),tblExpenses[Payment Status],"Pending")</f>
        <v>0</v>
      </c>
    </row>
    <row r="28" spans="2:15" ht="14.4" x14ac:dyDescent="0.3">
      <c r="B28" s="22">
        <v>45971</v>
      </c>
      <c r="C28" s="23" t="s">
        <v>181</v>
      </c>
      <c r="D28" s="23" t="s">
        <v>163</v>
      </c>
      <c r="E28" s="23" t="s">
        <v>182</v>
      </c>
      <c r="F28" s="24">
        <v>718.96</v>
      </c>
      <c r="G28" s="25" t="s">
        <v>102</v>
      </c>
      <c r="H28" s="23" t="s">
        <v>162</v>
      </c>
      <c r="I28" s="23"/>
      <c r="K28" s="9">
        <f t="shared" si="1"/>
        <v>46143</v>
      </c>
      <c r="L28" s="11">
        <f>SUMIFS(tblExpenses[Amount],tblExpenses[Date],"&gt;="&amp;$K28,tblExpenses[Date],"&lt;"&amp;EDATE($K28,1))</f>
        <v>7526.6100000000006</v>
      </c>
      <c r="M28" s="11">
        <f>SUMIFS(tblExpenses[Amount],tblExpenses[Date],"&gt;="&amp;$K28,tblExpenses[Date],"&lt;"&amp;EDATE($K28,1),tblExpenses[Payment Status],"Paid")</f>
        <v>7526.6100000000006</v>
      </c>
      <c r="N28" s="11">
        <f>SUMIFS(tblExpenses[Amount],tblExpenses[Date],"&gt;="&amp;$K28,tblExpenses[Date],"&lt;"&amp;EDATE($K28,1),tblExpenses[Payment Status],"Pending")</f>
        <v>0</v>
      </c>
    </row>
    <row r="29" spans="2:15" ht="14.4" x14ac:dyDescent="0.3">
      <c r="B29" s="22">
        <v>45973</v>
      </c>
      <c r="C29" s="23" t="s">
        <v>179</v>
      </c>
      <c r="D29" s="23" t="s">
        <v>178</v>
      </c>
      <c r="E29" s="23" t="s">
        <v>180</v>
      </c>
      <c r="F29" s="24">
        <v>194.38</v>
      </c>
      <c r="G29" s="25" t="s">
        <v>102</v>
      </c>
      <c r="H29" s="23" t="s">
        <v>168</v>
      </c>
      <c r="I29" s="23"/>
      <c r="K29" s="9">
        <f t="shared" si="1"/>
        <v>46174</v>
      </c>
      <c r="L29" s="11">
        <f>SUMIFS(tblExpenses[Amount],tblExpenses[Date],"&gt;="&amp;$K29,tblExpenses[Date],"&lt;"&amp;EDATE($K29,1))</f>
        <v>8951.7000000000007</v>
      </c>
      <c r="M29" s="11">
        <f>SUMIFS(tblExpenses[Amount],tblExpenses[Date],"&gt;="&amp;$K29,tblExpenses[Date],"&lt;"&amp;EDATE($K29,1),tblExpenses[Payment Status],"Paid")</f>
        <v>8951.7000000000007</v>
      </c>
      <c r="N29" s="11">
        <f>SUMIFS(tblExpenses[Amount],tblExpenses[Date],"&gt;="&amp;$K29,tblExpenses[Date],"&lt;"&amp;EDATE($K29,1),tblExpenses[Payment Status],"Pending")</f>
        <v>0</v>
      </c>
    </row>
    <row r="30" spans="2:15" ht="14.4" x14ac:dyDescent="0.3">
      <c r="B30" s="22">
        <v>45975</v>
      </c>
      <c r="C30" s="23" t="s">
        <v>176</v>
      </c>
      <c r="D30" s="23" t="s">
        <v>169</v>
      </c>
      <c r="E30" s="23" t="s">
        <v>177</v>
      </c>
      <c r="F30" s="24">
        <v>89.5</v>
      </c>
      <c r="G30" s="25" t="s">
        <v>102</v>
      </c>
      <c r="H30" s="23" t="s">
        <v>162</v>
      </c>
      <c r="I30" s="23"/>
      <c r="K30" s="9">
        <f t="shared" si="1"/>
        <v>46204</v>
      </c>
      <c r="L30" s="11">
        <f>SUMIFS(tblExpenses[Amount],tblExpenses[Date],"&gt;="&amp;$K30,tblExpenses[Date],"&lt;"&amp;EDATE($K30,1))</f>
        <v>7528.57</v>
      </c>
      <c r="M30" s="11">
        <f>SUMIFS(tblExpenses[Amount],tblExpenses[Date],"&gt;="&amp;$K30,tblExpenses[Date],"&lt;"&amp;EDATE($K30,1),tblExpenses[Payment Status],"Paid")</f>
        <v>7528.57</v>
      </c>
      <c r="N30" s="11">
        <f>SUMIFS(tblExpenses[Amount],tblExpenses[Date],"&gt;="&amp;$K30,tblExpenses[Date],"&lt;"&amp;EDATE($K30,1),tblExpenses[Payment Status],"Pending")</f>
        <v>0</v>
      </c>
    </row>
    <row r="31" spans="2:15" ht="14.4" x14ac:dyDescent="0.3">
      <c r="B31" s="22">
        <v>45976</v>
      </c>
      <c r="C31" s="23" t="s">
        <v>183</v>
      </c>
      <c r="D31" s="23" t="s">
        <v>156</v>
      </c>
      <c r="E31" s="23" t="s">
        <v>184</v>
      </c>
      <c r="F31" s="24">
        <v>450</v>
      </c>
      <c r="G31" s="25" t="s">
        <v>102</v>
      </c>
      <c r="H31" s="23" t="s">
        <v>153</v>
      </c>
      <c r="I31" s="23"/>
      <c r="K31" s="9">
        <f t="shared" si="1"/>
        <v>46235</v>
      </c>
      <c r="L31" s="11">
        <f>SUMIFS(tblExpenses[Amount],tblExpenses[Date],"&gt;="&amp;$K31,tblExpenses[Date],"&lt;"&amp;EDATE($K31,1))</f>
        <v>7448.35</v>
      </c>
      <c r="M31" s="11">
        <f>SUMIFS(tblExpenses[Amount],tblExpenses[Date],"&gt;="&amp;$K31,tblExpenses[Date],"&lt;"&amp;EDATE($K31,1),tblExpenses[Payment Status],"Paid")</f>
        <v>7448.35</v>
      </c>
      <c r="N31" s="11">
        <f>SUMIFS(tblExpenses[Amount],tblExpenses[Date],"&gt;="&amp;$K31,tblExpenses[Date],"&lt;"&amp;EDATE($K31,1),tblExpenses[Payment Status],"Pending")</f>
        <v>0</v>
      </c>
    </row>
    <row r="32" spans="2:15" ht="14.4" x14ac:dyDescent="0.3">
      <c r="B32" s="22">
        <v>45980</v>
      </c>
      <c r="C32" s="23" t="s">
        <v>190</v>
      </c>
      <c r="D32" s="23" t="s">
        <v>163</v>
      </c>
      <c r="E32" s="23" t="s">
        <v>191</v>
      </c>
      <c r="F32" s="24">
        <v>343.24</v>
      </c>
      <c r="G32" s="25" t="s">
        <v>102</v>
      </c>
      <c r="H32" s="23" t="s">
        <v>162</v>
      </c>
      <c r="I32" s="23"/>
      <c r="K32" s="9">
        <f t="shared" si="1"/>
        <v>46266</v>
      </c>
      <c r="L32" s="11">
        <f>SUMIFS(tblExpenses[Amount],tblExpenses[Date],"&gt;="&amp;$K32,tblExpenses[Date],"&lt;"&amp;EDATE($K32,1))</f>
        <v>8408.619999999999</v>
      </c>
      <c r="M32" s="11">
        <f>SUMIFS(tblExpenses[Amount],tblExpenses[Date],"&gt;="&amp;$K32,tblExpenses[Date],"&lt;"&amp;EDATE($K32,1),tblExpenses[Payment Status],"Paid")</f>
        <v>3876.8500000000004</v>
      </c>
      <c r="N32" s="11">
        <f>SUMIFS(tblExpenses[Amount],tblExpenses[Date],"&gt;="&amp;$K32,tblExpenses[Date],"&lt;"&amp;EDATE($K32,1),tblExpenses[Payment Status],"Pending")</f>
        <v>4531.7700000000004</v>
      </c>
    </row>
    <row r="33" spans="2:15" ht="14.4" x14ac:dyDescent="0.3">
      <c r="B33" s="22">
        <v>45989</v>
      </c>
      <c r="C33" s="23" t="s">
        <v>188</v>
      </c>
      <c r="D33" s="23" t="s">
        <v>156</v>
      </c>
      <c r="E33" s="23" t="s">
        <v>189</v>
      </c>
      <c r="F33" s="24">
        <v>2400</v>
      </c>
      <c r="G33" s="25" t="s">
        <v>102</v>
      </c>
      <c r="H33" s="23" t="s">
        <v>153</v>
      </c>
      <c r="I33" s="23" t="s">
        <v>154</v>
      </c>
      <c r="K33" s="12" t="s">
        <v>104</v>
      </c>
      <c r="L33" s="14">
        <f>SUM(L21:L32)</f>
        <v>96363.91</v>
      </c>
      <c r="M33" s="14">
        <f>SUM(M21:M32)</f>
        <v>91832.140000000014</v>
      </c>
      <c r="N33" s="14">
        <f>SUM(N21:N32)</f>
        <v>4531.7700000000004</v>
      </c>
    </row>
    <row r="34" spans="2:15" ht="14.4" x14ac:dyDescent="0.3">
      <c r="B34" s="22">
        <v>45992</v>
      </c>
      <c r="C34" s="23" t="s">
        <v>150</v>
      </c>
      <c r="D34" s="23" t="s">
        <v>151</v>
      </c>
      <c r="E34" s="23" t="s">
        <v>152</v>
      </c>
      <c r="F34" s="24">
        <v>1500</v>
      </c>
      <c r="G34" s="25" t="s">
        <v>102</v>
      </c>
      <c r="H34" s="23" t="s">
        <v>153</v>
      </c>
      <c r="I34" s="23" t="s">
        <v>154</v>
      </c>
      <c r="K34" s="72" t="str">
        <f>IF(ABS(L33-B5)&lt;0.005,"✓ Monthly total matches Total Expenses","⚠ Some expenses fall outside the 12 months shown")</f>
        <v>✓ Monthly total matches Total Expenses</v>
      </c>
      <c r="L34" s="72"/>
      <c r="M34" s="72"/>
      <c r="N34" s="72"/>
      <c r="O34" s="72"/>
    </row>
    <row r="35" spans="2:15" ht="14.4" x14ac:dyDescent="0.3">
      <c r="B35" s="22">
        <v>45993</v>
      </c>
      <c r="C35" s="23" t="s">
        <v>155</v>
      </c>
      <c r="D35" s="23" t="s">
        <v>156</v>
      </c>
      <c r="E35" s="23" t="s">
        <v>157</v>
      </c>
      <c r="F35" s="24">
        <v>900</v>
      </c>
      <c r="G35" s="25" t="s">
        <v>102</v>
      </c>
      <c r="H35" s="23" t="s">
        <v>153</v>
      </c>
      <c r="I35" s="23" t="s">
        <v>158</v>
      </c>
    </row>
    <row r="36" spans="2:15" ht="14.4" x14ac:dyDescent="0.3">
      <c r="B36" s="22">
        <v>45994</v>
      </c>
      <c r="C36" s="23" t="s">
        <v>160</v>
      </c>
      <c r="D36" s="23" t="s">
        <v>159</v>
      </c>
      <c r="E36" s="23" t="s">
        <v>161</v>
      </c>
      <c r="F36" s="24">
        <v>132</v>
      </c>
      <c r="G36" s="25" t="s">
        <v>102</v>
      </c>
      <c r="H36" s="23" t="s">
        <v>162</v>
      </c>
      <c r="I36" s="23" t="s">
        <v>154</v>
      </c>
    </row>
    <row r="37" spans="2:15" ht="14.4" x14ac:dyDescent="0.3">
      <c r="B37" s="22">
        <v>45994</v>
      </c>
      <c r="C37" s="23" t="s">
        <v>164</v>
      </c>
      <c r="D37" s="23" t="s">
        <v>159</v>
      </c>
      <c r="E37" s="23" t="s">
        <v>165</v>
      </c>
      <c r="F37" s="24">
        <v>79</v>
      </c>
      <c r="G37" s="25" t="s">
        <v>102</v>
      </c>
      <c r="H37" s="23" t="s">
        <v>162</v>
      </c>
      <c r="I37" s="23" t="s">
        <v>154</v>
      </c>
    </row>
    <row r="38" spans="2:15" ht="14.4" x14ac:dyDescent="0.3">
      <c r="B38" s="22">
        <v>45996</v>
      </c>
      <c r="C38" s="23" t="s">
        <v>166</v>
      </c>
      <c r="D38" s="23" t="s">
        <v>151</v>
      </c>
      <c r="E38" s="23" t="s">
        <v>167</v>
      </c>
      <c r="F38" s="24">
        <v>336.42</v>
      </c>
      <c r="G38" s="25" t="s">
        <v>102</v>
      </c>
      <c r="H38" s="23" t="s">
        <v>168</v>
      </c>
      <c r="I38" s="23"/>
    </row>
    <row r="39" spans="2:15" ht="14.4" x14ac:dyDescent="0.3">
      <c r="B39" s="22">
        <v>45999</v>
      </c>
      <c r="C39" s="23" t="s">
        <v>170</v>
      </c>
      <c r="D39" s="23" t="s">
        <v>159</v>
      </c>
      <c r="E39" s="23" t="s">
        <v>171</v>
      </c>
      <c r="F39" s="24">
        <v>89</v>
      </c>
      <c r="G39" s="25" t="s">
        <v>102</v>
      </c>
      <c r="H39" s="23" t="s">
        <v>162</v>
      </c>
      <c r="I39" s="23" t="s">
        <v>154</v>
      </c>
    </row>
    <row r="40" spans="2:15" ht="14.4" x14ac:dyDescent="0.3">
      <c r="B40" s="22">
        <v>46003</v>
      </c>
      <c r="C40" s="23" t="s">
        <v>179</v>
      </c>
      <c r="D40" s="23" t="s">
        <v>178</v>
      </c>
      <c r="E40" s="23" t="s">
        <v>180</v>
      </c>
      <c r="F40" s="24">
        <v>212.7</v>
      </c>
      <c r="G40" s="25" t="s">
        <v>102</v>
      </c>
      <c r="H40" s="23" t="s">
        <v>168</v>
      </c>
      <c r="I40" s="23"/>
    </row>
    <row r="41" spans="2:15" ht="14.4" x14ac:dyDescent="0.3">
      <c r="B41" s="22">
        <v>46005</v>
      </c>
      <c r="C41" s="23" t="s">
        <v>192</v>
      </c>
      <c r="D41" s="23" t="s">
        <v>172</v>
      </c>
      <c r="E41" s="23" t="s">
        <v>193</v>
      </c>
      <c r="F41" s="24">
        <v>599.36</v>
      </c>
      <c r="G41" s="25" t="s">
        <v>102</v>
      </c>
      <c r="H41" s="23" t="s">
        <v>162</v>
      </c>
      <c r="I41" s="23" t="s">
        <v>194</v>
      </c>
    </row>
    <row r="42" spans="2:15" ht="14.4" x14ac:dyDescent="0.3">
      <c r="B42" s="22">
        <v>46006</v>
      </c>
      <c r="C42" s="23" t="s">
        <v>183</v>
      </c>
      <c r="D42" s="23" t="s">
        <v>156</v>
      </c>
      <c r="E42" s="23" t="s">
        <v>184</v>
      </c>
      <c r="F42" s="24">
        <v>450</v>
      </c>
      <c r="G42" s="25" t="s">
        <v>102</v>
      </c>
      <c r="H42" s="23" t="s">
        <v>153</v>
      </c>
      <c r="I42" s="23"/>
    </row>
    <row r="43" spans="2:15" ht="14.4" x14ac:dyDescent="0.3">
      <c r="B43" s="22">
        <v>46006</v>
      </c>
      <c r="C43" s="23" t="s">
        <v>195</v>
      </c>
      <c r="D43" s="23" t="s">
        <v>178</v>
      </c>
      <c r="E43" s="23" t="s">
        <v>196</v>
      </c>
      <c r="F43" s="24">
        <v>1601.57</v>
      </c>
      <c r="G43" s="25" t="s">
        <v>102</v>
      </c>
      <c r="H43" s="23" t="s">
        <v>153</v>
      </c>
      <c r="I43" s="23"/>
    </row>
    <row r="44" spans="2:15" ht="14.4" x14ac:dyDescent="0.3">
      <c r="B44" s="22">
        <v>46009</v>
      </c>
      <c r="C44" s="23" t="s">
        <v>173</v>
      </c>
      <c r="D44" s="23" t="s">
        <v>172</v>
      </c>
      <c r="E44" s="23" t="s">
        <v>174</v>
      </c>
      <c r="F44" s="24">
        <v>159.66999999999999</v>
      </c>
      <c r="G44" s="25" t="s">
        <v>102</v>
      </c>
      <c r="H44" s="23" t="s">
        <v>162</v>
      </c>
      <c r="I44" s="23"/>
    </row>
    <row r="45" spans="2:15" ht="14.4" x14ac:dyDescent="0.3">
      <c r="B45" s="22">
        <v>46011</v>
      </c>
      <c r="C45" s="23" t="s">
        <v>181</v>
      </c>
      <c r="D45" s="23" t="s">
        <v>163</v>
      </c>
      <c r="E45" s="23" t="s">
        <v>182</v>
      </c>
      <c r="F45" s="24">
        <v>799.66</v>
      </c>
      <c r="G45" s="25" t="s">
        <v>102</v>
      </c>
      <c r="H45" s="23" t="s">
        <v>162</v>
      </c>
      <c r="I45" s="23"/>
    </row>
    <row r="46" spans="2:15" ht="14.4" x14ac:dyDescent="0.3">
      <c r="B46" s="22">
        <v>46014</v>
      </c>
      <c r="C46" s="23" t="s">
        <v>176</v>
      </c>
      <c r="D46" s="23" t="s">
        <v>169</v>
      </c>
      <c r="E46" s="23" t="s">
        <v>177</v>
      </c>
      <c r="F46" s="24">
        <v>130.54</v>
      </c>
      <c r="G46" s="25" t="s">
        <v>102</v>
      </c>
      <c r="H46" s="23" t="s">
        <v>162</v>
      </c>
      <c r="I46" s="23"/>
    </row>
    <row r="47" spans="2:15" ht="14.4" x14ac:dyDescent="0.3">
      <c r="B47" s="22">
        <v>46019</v>
      </c>
      <c r="C47" s="23" t="s">
        <v>188</v>
      </c>
      <c r="D47" s="23" t="s">
        <v>156</v>
      </c>
      <c r="E47" s="23" t="s">
        <v>189</v>
      </c>
      <c r="F47" s="24">
        <v>2400</v>
      </c>
      <c r="G47" s="25" t="s">
        <v>102</v>
      </c>
      <c r="H47" s="23" t="s">
        <v>153</v>
      </c>
      <c r="I47" s="23" t="s">
        <v>154</v>
      </c>
    </row>
    <row r="48" spans="2:15" ht="14.4" x14ac:dyDescent="0.3">
      <c r="B48" s="22">
        <v>46023</v>
      </c>
      <c r="C48" s="23" t="s">
        <v>150</v>
      </c>
      <c r="D48" s="23" t="s">
        <v>151</v>
      </c>
      <c r="E48" s="23" t="s">
        <v>152</v>
      </c>
      <c r="F48" s="24">
        <v>1500</v>
      </c>
      <c r="G48" s="25" t="s">
        <v>102</v>
      </c>
      <c r="H48" s="23" t="s">
        <v>153</v>
      </c>
      <c r="I48" s="23" t="s">
        <v>154</v>
      </c>
    </row>
    <row r="49" spans="2:9" ht="14.4" x14ac:dyDescent="0.3">
      <c r="B49" s="22">
        <v>46024</v>
      </c>
      <c r="C49" s="23" t="s">
        <v>155</v>
      </c>
      <c r="D49" s="23" t="s">
        <v>156</v>
      </c>
      <c r="E49" s="23" t="s">
        <v>157</v>
      </c>
      <c r="F49" s="24">
        <v>900</v>
      </c>
      <c r="G49" s="25" t="s">
        <v>102</v>
      </c>
      <c r="H49" s="23" t="s">
        <v>153</v>
      </c>
      <c r="I49" s="23" t="s">
        <v>158</v>
      </c>
    </row>
    <row r="50" spans="2:9" ht="14.4" x14ac:dyDescent="0.3">
      <c r="B50" s="22">
        <v>46025</v>
      </c>
      <c r="C50" s="23" t="s">
        <v>160</v>
      </c>
      <c r="D50" s="23" t="s">
        <v>159</v>
      </c>
      <c r="E50" s="23" t="s">
        <v>161</v>
      </c>
      <c r="F50" s="24">
        <v>132</v>
      </c>
      <c r="G50" s="25" t="s">
        <v>102</v>
      </c>
      <c r="H50" s="23" t="s">
        <v>162</v>
      </c>
      <c r="I50" s="23" t="s">
        <v>154</v>
      </c>
    </row>
    <row r="51" spans="2:9" ht="14.4" x14ac:dyDescent="0.3">
      <c r="B51" s="22">
        <v>46025</v>
      </c>
      <c r="C51" s="23" t="s">
        <v>164</v>
      </c>
      <c r="D51" s="23" t="s">
        <v>159</v>
      </c>
      <c r="E51" s="23" t="s">
        <v>165</v>
      </c>
      <c r="F51" s="24">
        <v>79</v>
      </c>
      <c r="G51" s="25" t="s">
        <v>102</v>
      </c>
      <c r="H51" s="23" t="s">
        <v>162</v>
      </c>
      <c r="I51" s="23" t="s">
        <v>154</v>
      </c>
    </row>
    <row r="52" spans="2:9" ht="14.4" x14ac:dyDescent="0.3">
      <c r="B52" s="22">
        <v>46027</v>
      </c>
      <c r="C52" s="23" t="s">
        <v>166</v>
      </c>
      <c r="D52" s="23" t="s">
        <v>151</v>
      </c>
      <c r="E52" s="23" t="s">
        <v>167</v>
      </c>
      <c r="F52" s="24">
        <v>224.71</v>
      </c>
      <c r="G52" s="25" t="s">
        <v>102</v>
      </c>
      <c r="H52" s="23" t="s">
        <v>168</v>
      </c>
      <c r="I52" s="23"/>
    </row>
    <row r="53" spans="2:9" ht="14.4" x14ac:dyDescent="0.3">
      <c r="B53" s="22">
        <v>46028</v>
      </c>
      <c r="C53" s="23" t="s">
        <v>181</v>
      </c>
      <c r="D53" s="23" t="s">
        <v>163</v>
      </c>
      <c r="E53" s="23" t="s">
        <v>182</v>
      </c>
      <c r="F53" s="24">
        <v>729.41</v>
      </c>
      <c r="G53" s="25" t="s">
        <v>102</v>
      </c>
      <c r="H53" s="23" t="s">
        <v>162</v>
      </c>
      <c r="I53" s="23"/>
    </row>
    <row r="54" spans="2:9" ht="14.4" x14ac:dyDescent="0.3">
      <c r="B54" s="22">
        <v>46030</v>
      </c>
      <c r="C54" s="23" t="s">
        <v>170</v>
      </c>
      <c r="D54" s="23" t="s">
        <v>159</v>
      </c>
      <c r="E54" s="23" t="s">
        <v>171</v>
      </c>
      <c r="F54" s="24">
        <v>89</v>
      </c>
      <c r="G54" s="25" t="s">
        <v>102</v>
      </c>
      <c r="H54" s="23" t="s">
        <v>162</v>
      </c>
      <c r="I54" s="23" t="s">
        <v>154</v>
      </c>
    </row>
    <row r="55" spans="2:9" ht="14.4" x14ac:dyDescent="0.3">
      <c r="B55" s="22">
        <v>46034</v>
      </c>
      <c r="C55" s="23" t="s">
        <v>179</v>
      </c>
      <c r="D55" s="23" t="s">
        <v>178</v>
      </c>
      <c r="E55" s="23" t="s">
        <v>180</v>
      </c>
      <c r="F55" s="24">
        <v>251.64</v>
      </c>
      <c r="G55" s="25" t="s">
        <v>102</v>
      </c>
      <c r="H55" s="23" t="s">
        <v>168</v>
      </c>
      <c r="I55" s="23"/>
    </row>
    <row r="56" spans="2:9" ht="14.4" x14ac:dyDescent="0.3">
      <c r="B56" s="22">
        <v>46037</v>
      </c>
      <c r="C56" s="23" t="s">
        <v>183</v>
      </c>
      <c r="D56" s="23" t="s">
        <v>156</v>
      </c>
      <c r="E56" s="23" t="s">
        <v>184</v>
      </c>
      <c r="F56" s="24">
        <v>450</v>
      </c>
      <c r="G56" s="25" t="s">
        <v>102</v>
      </c>
      <c r="H56" s="23" t="s">
        <v>153</v>
      </c>
      <c r="I56" s="23"/>
    </row>
    <row r="57" spans="2:9" ht="14.4" x14ac:dyDescent="0.3">
      <c r="B57" s="22">
        <v>46040</v>
      </c>
      <c r="C57" s="23" t="s">
        <v>176</v>
      </c>
      <c r="D57" s="23" t="s">
        <v>169</v>
      </c>
      <c r="E57" s="23" t="s">
        <v>177</v>
      </c>
      <c r="F57" s="24">
        <v>66.41</v>
      </c>
      <c r="G57" s="25" t="s">
        <v>102</v>
      </c>
      <c r="H57" s="23" t="s">
        <v>162</v>
      </c>
      <c r="I57" s="23"/>
    </row>
    <row r="58" spans="2:9" ht="14.4" x14ac:dyDescent="0.3">
      <c r="B58" s="22">
        <v>46042</v>
      </c>
      <c r="C58" s="23" t="s">
        <v>185</v>
      </c>
      <c r="D58" s="23" t="s">
        <v>175</v>
      </c>
      <c r="E58" s="23" t="s">
        <v>186</v>
      </c>
      <c r="F58" s="24">
        <v>540</v>
      </c>
      <c r="G58" s="25" t="s">
        <v>102</v>
      </c>
      <c r="H58" s="23" t="s">
        <v>153</v>
      </c>
      <c r="I58" s="23"/>
    </row>
    <row r="59" spans="2:9" ht="14.4" x14ac:dyDescent="0.3">
      <c r="B59" s="22">
        <v>46050</v>
      </c>
      <c r="C59" s="23" t="s">
        <v>188</v>
      </c>
      <c r="D59" s="23" t="s">
        <v>156</v>
      </c>
      <c r="E59" s="23" t="s">
        <v>189</v>
      </c>
      <c r="F59" s="24">
        <v>2400</v>
      </c>
      <c r="G59" s="25" t="s">
        <v>102</v>
      </c>
      <c r="H59" s="23" t="s">
        <v>153</v>
      </c>
      <c r="I59" s="23" t="s">
        <v>154</v>
      </c>
    </row>
    <row r="60" spans="2:9" ht="14.4" x14ac:dyDescent="0.3">
      <c r="B60" s="22">
        <v>46054</v>
      </c>
      <c r="C60" s="23" t="s">
        <v>150</v>
      </c>
      <c r="D60" s="23" t="s">
        <v>151</v>
      </c>
      <c r="E60" s="23" t="s">
        <v>152</v>
      </c>
      <c r="F60" s="24">
        <v>1500</v>
      </c>
      <c r="G60" s="25" t="s">
        <v>102</v>
      </c>
      <c r="H60" s="23" t="s">
        <v>153</v>
      </c>
      <c r="I60" s="23" t="s">
        <v>154</v>
      </c>
    </row>
    <row r="61" spans="2:9" ht="14.4" x14ac:dyDescent="0.3">
      <c r="B61" s="22">
        <v>46055</v>
      </c>
      <c r="C61" s="23" t="s">
        <v>155</v>
      </c>
      <c r="D61" s="23" t="s">
        <v>156</v>
      </c>
      <c r="E61" s="23" t="s">
        <v>157</v>
      </c>
      <c r="F61" s="24">
        <v>900</v>
      </c>
      <c r="G61" s="25" t="s">
        <v>102</v>
      </c>
      <c r="H61" s="23" t="s">
        <v>153</v>
      </c>
      <c r="I61" s="23" t="s">
        <v>158</v>
      </c>
    </row>
    <row r="62" spans="2:9" ht="14.4" x14ac:dyDescent="0.3">
      <c r="B62" s="22">
        <v>46056</v>
      </c>
      <c r="C62" s="23" t="s">
        <v>160</v>
      </c>
      <c r="D62" s="23" t="s">
        <v>159</v>
      </c>
      <c r="E62" s="23" t="s">
        <v>161</v>
      </c>
      <c r="F62" s="24">
        <v>132</v>
      </c>
      <c r="G62" s="25" t="s">
        <v>102</v>
      </c>
      <c r="H62" s="23" t="s">
        <v>162</v>
      </c>
      <c r="I62" s="23" t="s">
        <v>154</v>
      </c>
    </row>
    <row r="63" spans="2:9" ht="14.4" x14ac:dyDescent="0.3">
      <c r="B63" s="22">
        <v>46056</v>
      </c>
      <c r="C63" s="23" t="s">
        <v>164</v>
      </c>
      <c r="D63" s="23" t="s">
        <v>159</v>
      </c>
      <c r="E63" s="23" t="s">
        <v>165</v>
      </c>
      <c r="F63" s="24">
        <v>79</v>
      </c>
      <c r="G63" s="25" t="s">
        <v>102</v>
      </c>
      <c r="H63" s="23" t="s">
        <v>162</v>
      </c>
      <c r="I63" s="23" t="s">
        <v>154</v>
      </c>
    </row>
    <row r="64" spans="2:9" ht="14.4" x14ac:dyDescent="0.3">
      <c r="B64" s="22">
        <v>46058</v>
      </c>
      <c r="C64" s="23" t="s">
        <v>166</v>
      </c>
      <c r="D64" s="23" t="s">
        <v>151</v>
      </c>
      <c r="E64" s="23" t="s">
        <v>167</v>
      </c>
      <c r="F64" s="24">
        <v>212.64</v>
      </c>
      <c r="G64" s="25" t="s">
        <v>102</v>
      </c>
      <c r="H64" s="23" t="s">
        <v>168</v>
      </c>
      <c r="I64" s="23"/>
    </row>
    <row r="65" spans="2:9" ht="14.4" x14ac:dyDescent="0.3">
      <c r="B65" s="22">
        <v>46061</v>
      </c>
      <c r="C65" s="23" t="s">
        <v>170</v>
      </c>
      <c r="D65" s="23" t="s">
        <v>159</v>
      </c>
      <c r="E65" s="23" t="s">
        <v>171</v>
      </c>
      <c r="F65" s="24">
        <v>89</v>
      </c>
      <c r="G65" s="25" t="s">
        <v>102</v>
      </c>
      <c r="H65" s="23" t="s">
        <v>162</v>
      </c>
      <c r="I65" s="23" t="s">
        <v>154</v>
      </c>
    </row>
    <row r="66" spans="2:9" ht="14.4" x14ac:dyDescent="0.3">
      <c r="B66" s="22">
        <v>46062</v>
      </c>
      <c r="C66" s="23" t="s">
        <v>176</v>
      </c>
      <c r="D66" s="23" t="s">
        <v>169</v>
      </c>
      <c r="E66" s="23" t="s">
        <v>177</v>
      </c>
      <c r="F66" s="24">
        <v>109.39</v>
      </c>
      <c r="G66" s="25" t="s">
        <v>102</v>
      </c>
      <c r="H66" s="23" t="s">
        <v>162</v>
      </c>
      <c r="I66" s="23"/>
    </row>
    <row r="67" spans="2:9" ht="14.4" x14ac:dyDescent="0.3">
      <c r="B67" s="22">
        <v>46063</v>
      </c>
      <c r="C67" s="23" t="s">
        <v>181</v>
      </c>
      <c r="D67" s="23" t="s">
        <v>163</v>
      </c>
      <c r="E67" s="23" t="s">
        <v>182</v>
      </c>
      <c r="F67" s="24">
        <v>920.59</v>
      </c>
      <c r="G67" s="25" t="s">
        <v>102</v>
      </c>
      <c r="H67" s="23" t="s">
        <v>162</v>
      </c>
      <c r="I67" s="23"/>
    </row>
    <row r="68" spans="2:9" ht="14.4" x14ac:dyDescent="0.3">
      <c r="B68" s="22">
        <v>46065</v>
      </c>
      <c r="C68" s="23" t="s">
        <v>179</v>
      </c>
      <c r="D68" s="23" t="s">
        <v>178</v>
      </c>
      <c r="E68" s="23" t="s">
        <v>180</v>
      </c>
      <c r="F68" s="24">
        <v>236.47</v>
      </c>
      <c r="G68" s="25" t="s">
        <v>102</v>
      </c>
      <c r="H68" s="23" t="s">
        <v>168</v>
      </c>
      <c r="I68" s="23"/>
    </row>
    <row r="69" spans="2:9" ht="14.4" x14ac:dyDescent="0.3">
      <c r="B69" s="22">
        <v>46067</v>
      </c>
      <c r="C69" s="23" t="s">
        <v>173</v>
      </c>
      <c r="D69" s="23" t="s">
        <v>172</v>
      </c>
      <c r="E69" s="23" t="s">
        <v>174</v>
      </c>
      <c r="F69" s="24">
        <v>74.430000000000007</v>
      </c>
      <c r="G69" s="25" t="s">
        <v>102</v>
      </c>
      <c r="H69" s="23" t="s">
        <v>162</v>
      </c>
      <c r="I69" s="23"/>
    </row>
    <row r="70" spans="2:9" ht="14.4" x14ac:dyDescent="0.3">
      <c r="B70" s="22">
        <v>46067</v>
      </c>
      <c r="C70" s="23" t="s">
        <v>185</v>
      </c>
      <c r="D70" s="23" t="s">
        <v>175</v>
      </c>
      <c r="E70" s="23" t="s">
        <v>197</v>
      </c>
      <c r="F70" s="24">
        <v>720</v>
      </c>
      <c r="G70" s="25" t="s">
        <v>102</v>
      </c>
      <c r="H70" s="23" t="s">
        <v>153</v>
      </c>
      <c r="I70" s="23"/>
    </row>
    <row r="71" spans="2:9" ht="14.4" x14ac:dyDescent="0.3">
      <c r="B71" s="22">
        <v>46068</v>
      </c>
      <c r="C71" s="23" t="s">
        <v>183</v>
      </c>
      <c r="D71" s="23" t="s">
        <v>156</v>
      </c>
      <c r="E71" s="23" t="s">
        <v>184</v>
      </c>
      <c r="F71" s="24">
        <v>600</v>
      </c>
      <c r="G71" s="25" t="s">
        <v>102</v>
      </c>
      <c r="H71" s="23" t="s">
        <v>153</v>
      </c>
      <c r="I71" s="23"/>
    </row>
    <row r="72" spans="2:9" ht="14.4" x14ac:dyDescent="0.3">
      <c r="B72" s="22">
        <v>46069</v>
      </c>
      <c r="C72" s="23" t="s">
        <v>190</v>
      </c>
      <c r="D72" s="23" t="s">
        <v>163</v>
      </c>
      <c r="E72" s="23" t="s">
        <v>191</v>
      </c>
      <c r="F72" s="24">
        <v>332.05</v>
      </c>
      <c r="G72" s="25" t="s">
        <v>102</v>
      </c>
      <c r="H72" s="23" t="s">
        <v>162</v>
      </c>
      <c r="I72" s="23"/>
    </row>
    <row r="73" spans="2:9" ht="14.4" x14ac:dyDescent="0.3">
      <c r="B73" s="22">
        <v>46081</v>
      </c>
      <c r="C73" s="23" t="s">
        <v>188</v>
      </c>
      <c r="D73" s="23" t="s">
        <v>156</v>
      </c>
      <c r="E73" s="23" t="s">
        <v>189</v>
      </c>
      <c r="F73" s="24">
        <v>2400</v>
      </c>
      <c r="G73" s="25" t="s">
        <v>102</v>
      </c>
      <c r="H73" s="23" t="s">
        <v>153</v>
      </c>
      <c r="I73" s="23" t="s">
        <v>154</v>
      </c>
    </row>
    <row r="74" spans="2:9" ht="14.4" x14ac:dyDescent="0.3">
      <c r="B74" s="22">
        <v>46082</v>
      </c>
      <c r="C74" s="23" t="s">
        <v>150</v>
      </c>
      <c r="D74" s="23" t="s">
        <v>151</v>
      </c>
      <c r="E74" s="23" t="s">
        <v>152</v>
      </c>
      <c r="F74" s="24">
        <v>1500</v>
      </c>
      <c r="G74" s="25" t="s">
        <v>102</v>
      </c>
      <c r="H74" s="23" t="s">
        <v>153</v>
      </c>
      <c r="I74" s="23" t="s">
        <v>154</v>
      </c>
    </row>
    <row r="75" spans="2:9" ht="14.4" x14ac:dyDescent="0.3">
      <c r="B75" s="22">
        <v>46083</v>
      </c>
      <c r="C75" s="23" t="s">
        <v>155</v>
      </c>
      <c r="D75" s="23" t="s">
        <v>156</v>
      </c>
      <c r="E75" s="23" t="s">
        <v>157</v>
      </c>
      <c r="F75" s="24">
        <v>900</v>
      </c>
      <c r="G75" s="25" t="s">
        <v>102</v>
      </c>
      <c r="H75" s="23" t="s">
        <v>153</v>
      </c>
      <c r="I75" s="23" t="s">
        <v>158</v>
      </c>
    </row>
    <row r="76" spans="2:9" ht="14.4" x14ac:dyDescent="0.3">
      <c r="B76" s="22">
        <v>46084</v>
      </c>
      <c r="C76" s="23" t="s">
        <v>160</v>
      </c>
      <c r="D76" s="23" t="s">
        <v>159</v>
      </c>
      <c r="E76" s="23" t="s">
        <v>161</v>
      </c>
      <c r="F76" s="24">
        <v>132</v>
      </c>
      <c r="G76" s="25" t="s">
        <v>102</v>
      </c>
      <c r="H76" s="23" t="s">
        <v>162</v>
      </c>
      <c r="I76" s="23" t="s">
        <v>154</v>
      </c>
    </row>
    <row r="77" spans="2:9" ht="14.4" x14ac:dyDescent="0.3">
      <c r="B77" s="22">
        <v>46084</v>
      </c>
      <c r="C77" s="23" t="s">
        <v>164</v>
      </c>
      <c r="D77" s="23" t="s">
        <v>159</v>
      </c>
      <c r="E77" s="23" t="s">
        <v>165</v>
      </c>
      <c r="F77" s="24">
        <v>79</v>
      </c>
      <c r="G77" s="25" t="s">
        <v>102</v>
      </c>
      <c r="H77" s="23" t="s">
        <v>162</v>
      </c>
      <c r="I77" s="23" t="s">
        <v>154</v>
      </c>
    </row>
    <row r="78" spans="2:9" ht="14.4" x14ac:dyDescent="0.3">
      <c r="B78" s="22">
        <v>46086</v>
      </c>
      <c r="C78" s="23" t="s">
        <v>166</v>
      </c>
      <c r="D78" s="23" t="s">
        <v>151</v>
      </c>
      <c r="E78" s="23" t="s">
        <v>167</v>
      </c>
      <c r="F78" s="24">
        <v>267.7</v>
      </c>
      <c r="G78" s="25" t="s">
        <v>102</v>
      </c>
      <c r="H78" s="23" t="s">
        <v>168</v>
      </c>
      <c r="I78" s="23"/>
    </row>
    <row r="79" spans="2:9" ht="14.4" x14ac:dyDescent="0.3">
      <c r="B79" s="22">
        <v>46089</v>
      </c>
      <c r="C79" s="23" t="s">
        <v>170</v>
      </c>
      <c r="D79" s="23" t="s">
        <v>159</v>
      </c>
      <c r="E79" s="23" t="s">
        <v>171</v>
      </c>
      <c r="F79" s="24">
        <v>89</v>
      </c>
      <c r="G79" s="25" t="s">
        <v>102</v>
      </c>
      <c r="H79" s="23" t="s">
        <v>162</v>
      </c>
      <c r="I79" s="23" t="s">
        <v>154</v>
      </c>
    </row>
    <row r="80" spans="2:9" ht="14.4" x14ac:dyDescent="0.3">
      <c r="B80" s="22">
        <v>46093</v>
      </c>
      <c r="C80" s="23" t="s">
        <v>179</v>
      </c>
      <c r="D80" s="23" t="s">
        <v>178</v>
      </c>
      <c r="E80" s="23" t="s">
        <v>180</v>
      </c>
      <c r="F80" s="24">
        <v>155.13</v>
      </c>
      <c r="G80" s="25" t="s">
        <v>102</v>
      </c>
      <c r="H80" s="23" t="s">
        <v>168</v>
      </c>
      <c r="I80" s="23"/>
    </row>
    <row r="81" spans="2:9" ht="14.4" x14ac:dyDescent="0.3">
      <c r="B81" s="22">
        <v>46096</v>
      </c>
      <c r="C81" s="23" t="s">
        <v>183</v>
      </c>
      <c r="D81" s="23" t="s">
        <v>156</v>
      </c>
      <c r="E81" s="23" t="s">
        <v>184</v>
      </c>
      <c r="F81" s="24">
        <v>450</v>
      </c>
      <c r="G81" s="25" t="s">
        <v>102</v>
      </c>
      <c r="H81" s="23" t="s">
        <v>153</v>
      </c>
      <c r="I81" s="23"/>
    </row>
    <row r="82" spans="2:9" ht="14.4" x14ac:dyDescent="0.3">
      <c r="B82" s="22">
        <v>46096</v>
      </c>
      <c r="C82" s="23" t="s">
        <v>195</v>
      </c>
      <c r="D82" s="23" t="s">
        <v>178</v>
      </c>
      <c r="E82" s="23" t="s">
        <v>196</v>
      </c>
      <c r="F82" s="24">
        <v>1798.51</v>
      </c>
      <c r="G82" s="25" t="s">
        <v>102</v>
      </c>
      <c r="H82" s="23" t="s">
        <v>153</v>
      </c>
      <c r="I82" s="23"/>
    </row>
    <row r="83" spans="2:9" ht="14.4" x14ac:dyDescent="0.3">
      <c r="B83" s="22">
        <v>46098</v>
      </c>
      <c r="C83" s="23" t="s">
        <v>176</v>
      </c>
      <c r="D83" s="23" t="s">
        <v>169</v>
      </c>
      <c r="E83" s="23" t="s">
        <v>177</v>
      </c>
      <c r="F83" s="24">
        <v>108.62</v>
      </c>
      <c r="G83" s="25" t="s">
        <v>102</v>
      </c>
      <c r="H83" s="23" t="s">
        <v>162</v>
      </c>
      <c r="I83" s="23"/>
    </row>
    <row r="84" spans="2:9" ht="14.4" x14ac:dyDescent="0.3">
      <c r="B84" s="22">
        <v>46100</v>
      </c>
      <c r="C84" s="23" t="s">
        <v>181</v>
      </c>
      <c r="D84" s="23" t="s">
        <v>163</v>
      </c>
      <c r="E84" s="23" t="s">
        <v>182</v>
      </c>
      <c r="F84" s="24">
        <v>599.57000000000005</v>
      </c>
      <c r="G84" s="25" t="s">
        <v>102</v>
      </c>
      <c r="H84" s="23" t="s">
        <v>162</v>
      </c>
      <c r="I84" s="23"/>
    </row>
    <row r="85" spans="2:9" ht="14.4" x14ac:dyDescent="0.3">
      <c r="B85" s="22">
        <v>46100</v>
      </c>
      <c r="C85" s="23" t="s">
        <v>192</v>
      </c>
      <c r="D85" s="23" t="s">
        <v>172</v>
      </c>
      <c r="E85" s="23" t="s">
        <v>193</v>
      </c>
      <c r="F85" s="24">
        <v>654.84</v>
      </c>
      <c r="G85" s="25" t="s">
        <v>102</v>
      </c>
      <c r="H85" s="23" t="s">
        <v>162</v>
      </c>
      <c r="I85" s="23" t="s">
        <v>194</v>
      </c>
    </row>
    <row r="86" spans="2:9" ht="14.4" x14ac:dyDescent="0.3">
      <c r="B86" s="22">
        <v>46109</v>
      </c>
      <c r="C86" s="23" t="s">
        <v>188</v>
      </c>
      <c r="D86" s="23" t="s">
        <v>156</v>
      </c>
      <c r="E86" s="23" t="s">
        <v>189</v>
      </c>
      <c r="F86" s="24">
        <v>2400</v>
      </c>
      <c r="G86" s="25" t="s">
        <v>102</v>
      </c>
      <c r="H86" s="23" t="s">
        <v>153</v>
      </c>
      <c r="I86" s="23" t="s">
        <v>154</v>
      </c>
    </row>
    <row r="87" spans="2:9" ht="14.4" x14ac:dyDescent="0.3">
      <c r="B87" s="22">
        <v>46113</v>
      </c>
      <c r="C87" s="23" t="s">
        <v>150</v>
      </c>
      <c r="D87" s="23" t="s">
        <v>151</v>
      </c>
      <c r="E87" s="23" t="s">
        <v>152</v>
      </c>
      <c r="F87" s="24">
        <v>1500</v>
      </c>
      <c r="G87" s="25" t="s">
        <v>102</v>
      </c>
      <c r="H87" s="23" t="s">
        <v>153</v>
      </c>
      <c r="I87" s="23" t="s">
        <v>154</v>
      </c>
    </row>
    <row r="88" spans="2:9" ht="14.4" x14ac:dyDescent="0.3">
      <c r="B88" s="22">
        <v>46114</v>
      </c>
      <c r="C88" s="23" t="s">
        <v>155</v>
      </c>
      <c r="D88" s="23" t="s">
        <v>156</v>
      </c>
      <c r="E88" s="23" t="s">
        <v>157</v>
      </c>
      <c r="F88" s="24">
        <v>900</v>
      </c>
      <c r="G88" s="25" t="s">
        <v>102</v>
      </c>
      <c r="H88" s="23" t="s">
        <v>153</v>
      </c>
      <c r="I88" s="23" t="s">
        <v>158</v>
      </c>
    </row>
    <row r="89" spans="2:9" ht="14.4" x14ac:dyDescent="0.3">
      <c r="B89" s="22">
        <v>46115</v>
      </c>
      <c r="C89" s="23" t="s">
        <v>160</v>
      </c>
      <c r="D89" s="23" t="s">
        <v>159</v>
      </c>
      <c r="E89" s="23" t="s">
        <v>161</v>
      </c>
      <c r="F89" s="24">
        <v>132</v>
      </c>
      <c r="G89" s="25" t="s">
        <v>102</v>
      </c>
      <c r="H89" s="23" t="s">
        <v>162</v>
      </c>
      <c r="I89" s="23" t="s">
        <v>154</v>
      </c>
    </row>
    <row r="90" spans="2:9" ht="14.4" x14ac:dyDescent="0.3">
      <c r="B90" s="22">
        <v>46115</v>
      </c>
      <c r="C90" s="23" t="s">
        <v>164</v>
      </c>
      <c r="D90" s="23" t="s">
        <v>159</v>
      </c>
      <c r="E90" s="23" t="s">
        <v>165</v>
      </c>
      <c r="F90" s="24">
        <v>79</v>
      </c>
      <c r="G90" s="25" t="s">
        <v>102</v>
      </c>
      <c r="H90" s="23" t="s">
        <v>162</v>
      </c>
      <c r="I90" s="23" t="s">
        <v>154</v>
      </c>
    </row>
    <row r="91" spans="2:9" ht="14.4" x14ac:dyDescent="0.3">
      <c r="B91" s="22">
        <v>46117</v>
      </c>
      <c r="C91" s="23" t="s">
        <v>166</v>
      </c>
      <c r="D91" s="23" t="s">
        <v>151</v>
      </c>
      <c r="E91" s="23" t="s">
        <v>167</v>
      </c>
      <c r="F91" s="24">
        <v>306.14999999999998</v>
      </c>
      <c r="G91" s="25" t="s">
        <v>102</v>
      </c>
      <c r="H91" s="23" t="s">
        <v>168</v>
      </c>
      <c r="I91" s="23"/>
    </row>
    <row r="92" spans="2:9" ht="14.4" x14ac:dyDescent="0.3">
      <c r="B92" s="22">
        <v>46120</v>
      </c>
      <c r="C92" s="23" t="s">
        <v>170</v>
      </c>
      <c r="D92" s="23" t="s">
        <v>159</v>
      </c>
      <c r="E92" s="23" t="s">
        <v>171</v>
      </c>
      <c r="F92" s="24">
        <v>89</v>
      </c>
      <c r="G92" s="25" t="s">
        <v>102</v>
      </c>
      <c r="H92" s="23" t="s">
        <v>162</v>
      </c>
      <c r="I92" s="23" t="s">
        <v>154</v>
      </c>
    </row>
    <row r="93" spans="2:9" ht="14.4" x14ac:dyDescent="0.3">
      <c r="B93" s="22">
        <v>46124</v>
      </c>
      <c r="C93" s="23" t="s">
        <v>179</v>
      </c>
      <c r="D93" s="23" t="s">
        <v>178</v>
      </c>
      <c r="E93" s="23" t="s">
        <v>180</v>
      </c>
      <c r="F93" s="24">
        <v>124.29</v>
      </c>
      <c r="G93" s="25" t="s">
        <v>102</v>
      </c>
      <c r="H93" s="23" t="s">
        <v>168</v>
      </c>
      <c r="I93" s="23"/>
    </row>
    <row r="94" spans="2:9" ht="14.4" x14ac:dyDescent="0.3">
      <c r="B94" s="22">
        <v>46125</v>
      </c>
      <c r="C94" s="23" t="s">
        <v>181</v>
      </c>
      <c r="D94" s="23" t="s">
        <v>163</v>
      </c>
      <c r="E94" s="23" t="s">
        <v>182</v>
      </c>
      <c r="F94" s="24">
        <v>548.97</v>
      </c>
      <c r="G94" s="25" t="s">
        <v>102</v>
      </c>
      <c r="H94" s="23" t="s">
        <v>162</v>
      </c>
      <c r="I94" s="23"/>
    </row>
    <row r="95" spans="2:9" ht="14.4" x14ac:dyDescent="0.3">
      <c r="B95" s="22">
        <v>46126</v>
      </c>
      <c r="C95" s="23" t="s">
        <v>173</v>
      </c>
      <c r="D95" s="23" t="s">
        <v>172</v>
      </c>
      <c r="E95" s="23" t="s">
        <v>174</v>
      </c>
      <c r="F95" s="24">
        <v>151.86000000000001</v>
      </c>
      <c r="G95" s="25" t="s">
        <v>102</v>
      </c>
      <c r="H95" s="23" t="s">
        <v>162</v>
      </c>
      <c r="I95" s="23"/>
    </row>
    <row r="96" spans="2:9" ht="14.4" x14ac:dyDescent="0.3">
      <c r="B96" s="22">
        <v>46127</v>
      </c>
      <c r="C96" s="23" t="s">
        <v>183</v>
      </c>
      <c r="D96" s="23" t="s">
        <v>156</v>
      </c>
      <c r="E96" s="23" t="s">
        <v>184</v>
      </c>
      <c r="F96" s="24">
        <v>450</v>
      </c>
      <c r="G96" s="25" t="s">
        <v>102</v>
      </c>
      <c r="H96" s="23" t="s">
        <v>153</v>
      </c>
      <c r="I96" s="23"/>
    </row>
    <row r="97" spans="2:9" ht="14.4" x14ac:dyDescent="0.3">
      <c r="B97" s="22">
        <v>46131</v>
      </c>
      <c r="C97" s="23" t="s">
        <v>176</v>
      </c>
      <c r="D97" s="23" t="s">
        <v>169</v>
      </c>
      <c r="E97" s="23" t="s">
        <v>177</v>
      </c>
      <c r="F97" s="24">
        <v>163.62</v>
      </c>
      <c r="G97" s="25" t="s">
        <v>102</v>
      </c>
      <c r="H97" s="23" t="s">
        <v>162</v>
      </c>
      <c r="I97" s="23"/>
    </row>
    <row r="98" spans="2:9" ht="14.4" x14ac:dyDescent="0.3">
      <c r="B98" s="22">
        <v>46132</v>
      </c>
      <c r="C98" s="23" t="s">
        <v>185</v>
      </c>
      <c r="D98" s="23" t="s">
        <v>175</v>
      </c>
      <c r="E98" s="23" t="s">
        <v>186</v>
      </c>
      <c r="F98" s="24">
        <v>540</v>
      </c>
      <c r="G98" s="25" t="s">
        <v>102</v>
      </c>
      <c r="H98" s="23" t="s">
        <v>153</v>
      </c>
      <c r="I98" s="23"/>
    </row>
    <row r="99" spans="2:9" ht="14.4" x14ac:dyDescent="0.3">
      <c r="B99" s="22">
        <v>46140</v>
      </c>
      <c r="C99" s="23" t="s">
        <v>188</v>
      </c>
      <c r="D99" s="23" t="s">
        <v>156</v>
      </c>
      <c r="E99" s="23" t="s">
        <v>189</v>
      </c>
      <c r="F99" s="24">
        <v>2400</v>
      </c>
      <c r="G99" s="25" t="s">
        <v>102</v>
      </c>
      <c r="H99" s="23" t="s">
        <v>153</v>
      </c>
      <c r="I99" s="23" t="s">
        <v>154</v>
      </c>
    </row>
    <row r="100" spans="2:9" ht="14.4" x14ac:dyDescent="0.3">
      <c r="B100" s="22">
        <v>46143</v>
      </c>
      <c r="C100" s="23" t="s">
        <v>150</v>
      </c>
      <c r="D100" s="23" t="s">
        <v>151</v>
      </c>
      <c r="E100" s="23" t="s">
        <v>152</v>
      </c>
      <c r="F100" s="24">
        <v>1500</v>
      </c>
      <c r="G100" s="25" t="s">
        <v>102</v>
      </c>
      <c r="H100" s="23" t="s">
        <v>153</v>
      </c>
      <c r="I100" s="23" t="s">
        <v>154</v>
      </c>
    </row>
    <row r="101" spans="2:9" ht="14.4" x14ac:dyDescent="0.3">
      <c r="B101" s="22">
        <v>46144</v>
      </c>
      <c r="C101" s="23" t="s">
        <v>155</v>
      </c>
      <c r="D101" s="23" t="s">
        <v>156</v>
      </c>
      <c r="E101" s="23" t="s">
        <v>157</v>
      </c>
      <c r="F101" s="24">
        <v>900</v>
      </c>
      <c r="G101" s="25" t="s">
        <v>102</v>
      </c>
      <c r="H101" s="23" t="s">
        <v>153</v>
      </c>
      <c r="I101" s="23" t="s">
        <v>158</v>
      </c>
    </row>
    <row r="102" spans="2:9" ht="14.4" x14ac:dyDescent="0.3">
      <c r="B102" s="22">
        <v>46145</v>
      </c>
      <c r="C102" s="23" t="s">
        <v>160</v>
      </c>
      <c r="D102" s="23" t="s">
        <v>159</v>
      </c>
      <c r="E102" s="23" t="s">
        <v>161</v>
      </c>
      <c r="F102" s="24">
        <v>132</v>
      </c>
      <c r="G102" s="25" t="s">
        <v>102</v>
      </c>
      <c r="H102" s="23" t="s">
        <v>162</v>
      </c>
      <c r="I102" s="23" t="s">
        <v>154</v>
      </c>
    </row>
    <row r="103" spans="2:9" ht="14.4" x14ac:dyDescent="0.3">
      <c r="B103" s="22">
        <v>46145</v>
      </c>
      <c r="C103" s="23" t="s">
        <v>164</v>
      </c>
      <c r="D103" s="23" t="s">
        <v>159</v>
      </c>
      <c r="E103" s="23" t="s">
        <v>165</v>
      </c>
      <c r="F103" s="24">
        <v>79</v>
      </c>
      <c r="G103" s="25" t="s">
        <v>102</v>
      </c>
      <c r="H103" s="23" t="s">
        <v>162</v>
      </c>
      <c r="I103" s="23" t="s">
        <v>154</v>
      </c>
    </row>
    <row r="104" spans="2:9" ht="14.4" x14ac:dyDescent="0.3">
      <c r="B104" s="22">
        <v>46147</v>
      </c>
      <c r="C104" s="23" t="s">
        <v>166</v>
      </c>
      <c r="D104" s="23" t="s">
        <v>151</v>
      </c>
      <c r="E104" s="23" t="s">
        <v>167</v>
      </c>
      <c r="F104" s="24">
        <v>237.73</v>
      </c>
      <c r="G104" s="25" t="s">
        <v>102</v>
      </c>
      <c r="H104" s="23" t="s">
        <v>168</v>
      </c>
      <c r="I104" s="23"/>
    </row>
    <row r="105" spans="2:9" ht="14.4" x14ac:dyDescent="0.3">
      <c r="B105" s="22">
        <v>46150</v>
      </c>
      <c r="C105" s="23" t="s">
        <v>170</v>
      </c>
      <c r="D105" s="23" t="s">
        <v>159</v>
      </c>
      <c r="E105" s="23" t="s">
        <v>171</v>
      </c>
      <c r="F105" s="24">
        <v>89</v>
      </c>
      <c r="G105" s="25" t="s">
        <v>102</v>
      </c>
      <c r="H105" s="23" t="s">
        <v>162</v>
      </c>
      <c r="I105" s="23" t="s">
        <v>154</v>
      </c>
    </row>
    <row r="106" spans="2:9" ht="14.4" x14ac:dyDescent="0.3">
      <c r="B106" s="22">
        <v>46152</v>
      </c>
      <c r="C106" s="23" t="s">
        <v>181</v>
      </c>
      <c r="D106" s="23" t="s">
        <v>163</v>
      </c>
      <c r="E106" s="23" t="s">
        <v>182</v>
      </c>
      <c r="F106" s="24">
        <v>786.17</v>
      </c>
      <c r="G106" s="25" t="s">
        <v>102</v>
      </c>
      <c r="H106" s="23" t="s">
        <v>162</v>
      </c>
      <c r="I106" s="23"/>
    </row>
    <row r="107" spans="2:9" ht="14.4" x14ac:dyDescent="0.3">
      <c r="B107" s="22">
        <v>46154</v>
      </c>
      <c r="C107" s="23" t="s">
        <v>179</v>
      </c>
      <c r="D107" s="23" t="s">
        <v>178</v>
      </c>
      <c r="E107" s="23" t="s">
        <v>180</v>
      </c>
      <c r="F107" s="24">
        <v>213.06</v>
      </c>
      <c r="G107" s="25" t="s">
        <v>102</v>
      </c>
      <c r="H107" s="23" t="s">
        <v>168</v>
      </c>
      <c r="I107" s="23"/>
    </row>
    <row r="108" spans="2:9" ht="14.4" x14ac:dyDescent="0.3">
      <c r="B108" s="22">
        <v>46157</v>
      </c>
      <c r="C108" s="23" t="s">
        <v>183</v>
      </c>
      <c r="D108" s="23" t="s">
        <v>156</v>
      </c>
      <c r="E108" s="23" t="s">
        <v>184</v>
      </c>
      <c r="F108" s="24">
        <v>600</v>
      </c>
      <c r="G108" s="25" t="s">
        <v>102</v>
      </c>
      <c r="H108" s="23" t="s">
        <v>153</v>
      </c>
      <c r="I108" s="23"/>
    </row>
    <row r="109" spans="2:9" ht="14.4" x14ac:dyDescent="0.3">
      <c r="B109" s="22">
        <v>46158</v>
      </c>
      <c r="C109" s="23" t="s">
        <v>176</v>
      </c>
      <c r="D109" s="23" t="s">
        <v>169</v>
      </c>
      <c r="E109" s="23" t="s">
        <v>177</v>
      </c>
      <c r="F109" s="24">
        <v>170.81</v>
      </c>
      <c r="G109" s="25" t="s">
        <v>102</v>
      </c>
      <c r="H109" s="23" t="s">
        <v>162</v>
      </c>
      <c r="I109" s="23"/>
    </row>
    <row r="110" spans="2:9" ht="14.4" x14ac:dyDescent="0.3">
      <c r="B110" s="22">
        <v>46164</v>
      </c>
      <c r="C110" s="23" t="s">
        <v>190</v>
      </c>
      <c r="D110" s="23" t="s">
        <v>163</v>
      </c>
      <c r="E110" s="23" t="s">
        <v>191</v>
      </c>
      <c r="F110" s="24">
        <v>418.84</v>
      </c>
      <c r="G110" s="25" t="s">
        <v>102</v>
      </c>
      <c r="H110" s="23" t="s">
        <v>162</v>
      </c>
      <c r="I110" s="23"/>
    </row>
    <row r="111" spans="2:9" ht="14.4" x14ac:dyDescent="0.3">
      <c r="B111" s="22">
        <v>46170</v>
      </c>
      <c r="C111" s="23" t="s">
        <v>188</v>
      </c>
      <c r="D111" s="23" t="s">
        <v>156</v>
      </c>
      <c r="E111" s="23" t="s">
        <v>189</v>
      </c>
      <c r="F111" s="24">
        <v>2400</v>
      </c>
      <c r="G111" s="25" t="s">
        <v>102</v>
      </c>
      <c r="H111" s="23" t="s">
        <v>153</v>
      </c>
      <c r="I111" s="23" t="s">
        <v>154</v>
      </c>
    </row>
    <row r="112" spans="2:9" ht="14.4" x14ac:dyDescent="0.3">
      <c r="B112" s="22">
        <v>46174</v>
      </c>
      <c r="C112" s="23" t="s">
        <v>150</v>
      </c>
      <c r="D112" s="23" t="s">
        <v>151</v>
      </c>
      <c r="E112" s="23" t="s">
        <v>152</v>
      </c>
      <c r="F112" s="24">
        <v>1500</v>
      </c>
      <c r="G112" s="25" t="s">
        <v>102</v>
      </c>
      <c r="H112" s="23" t="s">
        <v>153</v>
      </c>
      <c r="I112" s="23" t="s">
        <v>154</v>
      </c>
    </row>
    <row r="113" spans="2:9" ht="14.4" x14ac:dyDescent="0.3">
      <c r="B113" s="22">
        <v>46175</v>
      </c>
      <c r="C113" s="23" t="s">
        <v>155</v>
      </c>
      <c r="D113" s="23" t="s">
        <v>156</v>
      </c>
      <c r="E113" s="23" t="s">
        <v>157</v>
      </c>
      <c r="F113" s="24">
        <v>900</v>
      </c>
      <c r="G113" s="25" t="s">
        <v>102</v>
      </c>
      <c r="H113" s="23" t="s">
        <v>153</v>
      </c>
      <c r="I113" s="23" t="s">
        <v>158</v>
      </c>
    </row>
    <row r="114" spans="2:9" ht="14.4" x14ac:dyDescent="0.3">
      <c r="B114" s="22">
        <v>46176</v>
      </c>
      <c r="C114" s="23" t="s">
        <v>160</v>
      </c>
      <c r="D114" s="23" t="s">
        <v>159</v>
      </c>
      <c r="E114" s="23" t="s">
        <v>161</v>
      </c>
      <c r="F114" s="24">
        <v>132</v>
      </c>
      <c r="G114" s="25" t="s">
        <v>102</v>
      </c>
      <c r="H114" s="23" t="s">
        <v>162</v>
      </c>
      <c r="I114" s="23" t="s">
        <v>154</v>
      </c>
    </row>
    <row r="115" spans="2:9" ht="14.4" x14ac:dyDescent="0.3">
      <c r="B115" s="22">
        <v>46176</v>
      </c>
      <c r="C115" s="23" t="s">
        <v>164</v>
      </c>
      <c r="D115" s="23" t="s">
        <v>159</v>
      </c>
      <c r="E115" s="23" t="s">
        <v>165</v>
      </c>
      <c r="F115" s="24">
        <v>79</v>
      </c>
      <c r="G115" s="25" t="s">
        <v>102</v>
      </c>
      <c r="H115" s="23" t="s">
        <v>162</v>
      </c>
      <c r="I115" s="23" t="s">
        <v>154</v>
      </c>
    </row>
    <row r="116" spans="2:9" ht="14.4" x14ac:dyDescent="0.3">
      <c r="B116" s="22">
        <v>46178</v>
      </c>
      <c r="C116" s="23" t="s">
        <v>166</v>
      </c>
      <c r="D116" s="23" t="s">
        <v>151</v>
      </c>
      <c r="E116" s="23" t="s">
        <v>167</v>
      </c>
      <c r="F116" s="24">
        <v>231.56</v>
      </c>
      <c r="G116" s="25" t="s">
        <v>102</v>
      </c>
      <c r="H116" s="23" t="s">
        <v>168</v>
      </c>
      <c r="I116" s="23"/>
    </row>
    <row r="117" spans="2:9" ht="14.4" x14ac:dyDescent="0.3">
      <c r="B117" s="22">
        <v>46181</v>
      </c>
      <c r="C117" s="23" t="s">
        <v>170</v>
      </c>
      <c r="D117" s="23" t="s">
        <v>159</v>
      </c>
      <c r="E117" s="23" t="s">
        <v>171</v>
      </c>
      <c r="F117" s="24">
        <v>89</v>
      </c>
      <c r="G117" s="25" t="s">
        <v>102</v>
      </c>
      <c r="H117" s="23" t="s">
        <v>162</v>
      </c>
      <c r="I117" s="23" t="s">
        <v>154</v>
      </c>
    </row>
    <row r="118" spans="2:9" ht="14.4" x14ac:dyDescent="0.3">
      <c r="B118" s="22">
        <v>46182</v>
      </c>
      <c r="C118" s="23" t="s">
        <v>181</v>
      </c>
      <c r="D118" s="23" t="s">
        <v>163</v>
      </c>
      <c r="E118" s="23" t="s">
        <v>182</v>
      </c>
      <c r="F118" s="24">
        <v>599.54</v>
      </c>
      <c r="G118" s="25" t="s">
        <v>102</v>
      </c>
      <c r="H118" s="23" t="s">
        <v>162</v>
      </c>
      <c r="I118" s="23"/>
    </row>
    <row r="119" spans="2:9" ht="14.4" x14ac:dyDescent="0.3">
      <c r="B119" s="22">
        <v>46185</v>
      </c>
      <c r="C119" s="23" t="s">
        <v>179</v>
      </c>
      <c r="D119" s="23" t="s">
        <v>178</v>
      </c>
      <c r="E119" s="23" t="s">
        <v>180</v>
      </c>
      <c r="F119" s="24">
        <v>255.91</v>
      </c>
      <c r="G119" s="25" t="s">
        <v>102</v>
      </c>
      <c r="H119" s="23" t="s">
        <v>168</v>
      </c>
      <c r="I119" s="23"/>
    </row>
    <row r="120" spans="2:9" ht="14.4" x14ac:dyDescent="0.3">
      <c r="B120" s="22">
        <v>46188</v>
      </c>
      <c r="C120" s="23" t="s">
        <v>183</v>
      </c>
      <c r="D120" s="23" t="s">
        <v>156</v>
      </c>
      <c r="E120" s="23" t="s">
        <v>184</v>
      </c>
      <c r="F120" s="24">
        <v>450</v>
      </c>
      <c r="G120" s="25" t="s">
        <v>102</v>
      </c>
      <c r="H120" s="23" t="s">
        <v>153</v>
      </c>
      <c r="I120" s="23"/>
    </row>
    <row r="121" spans="2:9" ht="14.4" x14ac:dyDescent="0.3">
      <c r="B121" s="22">
        <v>46188</v>
      </c>
      <c r="C121" s="23" t="s">
        <v>195</v>
      </c>
      <c r="D121" s="23" t="s">
        <v>178</v>
      </c>
      <c r="E121" s="23" t="s">
        <v>196</v>
      </c>
      <c r="F121" s="24">
        <v>1625.76</v>
      </c>
      <c r="G121" s="25" t="s">
        <v>102</v>
      </c>
      <c r="H121" s="23" t="s">
        <v>153</v>
      </c>
      <c r="I121" s="23"/>
    </row>
    <row r="122" spans="2:9" ht="14.4" x14ac:dyDescent="0.3">
      <c r="B122" s="22">
        <v>46192</v>
      </c>
      <c r="C122" s="23" t="s">
        <v>176</v>
      </c>
      <c r="D122" s="23" t="s">
        <v>169</v>
      </c>
      <c r="E122" s="23" t="s">
        <v>177</v>
      </c>
      <c r="F122" s="24">
        <v>138.46</v>
      </c>
      <c r="G122" s="25" t="s">
        <v>102</v>
      </c>
      <c r="H122" s="23" t="s">
        <v>162</v>
      </c>
      <c r="I122" s="23"/>
    </row>
    <row r="123" spans="2:9" ht="14.4" x14ac:dyDescent="0.3">
      <c r="B123" s="22">
        <v>46193</v>
      </c>
      <c r="C123" s="23" t="s">
        <v>192</v>
      </c>
      <c r="D123" s="23" t="s">
        <v>172</v>
      </c>
      <c r="E123" s="23" t="s">
        <v>193</v>
      </c>
      <c r="F123" s="24">
        <v>459.32</v>
      </c>
      <c r="G123" s="25" t="s">
        <v>102</v>
      </c>
      <c r="H123" s="23" t="s">
        <v>162</v>
      </c>
      <c r="I123" s="23" t="s">
        <v>194</v>
      </c>
    </row>
    <row r="124" spans="2:9" ht="14.4" x14ac:dyDescent="0.3">
      <c r="B124" s="22">
        <v>46196</v>
      </c>
      <c r="C124" s="23" t="s">
        <v>173</v>
      </c>
      <c r="D124" s="23" t="s">
        <v>172</v>
      </c>
      <c r="E124" s="23" t="s">
        <v>174</v>
      </c>
      <c r="F124" s="24">
        <v>91.15</v>
      </c>
      <c r="G124" s="25" t="s">
        <v>102</v>
      </c>
      <c r="H124" s="23" t="s">
        <v>162</v>
      </c>
      <c r="I124" s="23"/>
    </row>
    <row r="125" spans="2:9" ht="14.4" x14ac:dyDescent="0.3">
      <c r="B125" s="22">
        <v>46201</v>
      </c>
      <c r="C125" s="23" t="s">
        <v>188</v>
      </c>
      <c r="D125" s="23" t="s">
        <v>156</v>
      </c>
      <c r="E125" s="23" t="s">
        <v>189</v>
      </c>
      <c r="F125" s="24">
        <v>2400</v>
      </c>
      <c r="G125" s="25" t="s">
        <v>102</v>
      </c>
      <c r="H125" s="23" t="s">
        <v>153</v>
      </c>
      <c r="I125" s="23" t="s">
        <v>154</v>
      </c>
    </row>
    <row r="126" spans="2:9" ht="14.4" x14ac:dyDescent="0.3">
      <c r="B126" s="22">
        <v>46204</v>
      </c>
      <c r="C126" s="23" t="s">
        <v>150</v>
      </c>
      <c r="D126" s="23" t="s">
        <v>151</v>
      </c>
      <c r="E126" s="23" t="s">
        <v>152</v>
      </c>
      <c r="F126" s="24">
        <v>1500</v>
      </c>
      <c r="G126" s="25" t="s">
        <v>102</v>
      </c>
      <c r="H126" s="23" t="s">
        <v>153</v>
      </c>
      <c r="I126" s="23" t="s">
        <v>154</v>
      </c>
    </row>
    <row r="127" spans="2:9" ht="14.4" x14ac:dyDescent="0.3">
      <c r="B127" s="22">
        <v>46205</v>
      </c>
      <c r="C127" s="23" t="s">
        <v>155</v>
      </c>
      <c r="D127" s="23" t="s">
        <v>156</v>
      </c>
      <c r="E127" s="23" t="s">
        <v>157</v>
      </c>
      <c r="F127" s="24">
        <v>900</v>
      </c>
      <c r="G127" s="25" t="s">
        <v>102</v>
      </c>
      <c r="H127" s="23" t="s">
        <v>153</v>
      </c>
      <c r="I127" s="23" t="s">
        <v>158</v>
      </c>
    </row>
    <row r="128" spans="2:9" ht="14.4" x14ac:dyDescent="0.3">
      <c r="B128" s="22">
        <v>46206</v>
      </c>
      <c r="C128" s="23" t="s">
        <v>160</v>
      </c>
      <c r="D128" s="23" t="s">
        <v>159</v>
      </c>
      <c r="E128" s="23" t="s">
        <v>161</v>
      </c>
      <c r="F128" s="24">
        <v>132</v>
      </c>
      <c r="G128" s="25" t="s">
        <v>102</v>
      </c>
      <c r="H128" s="23" t="s">
        <v>162</v>
      </c>
      <c r="I128" s="23" t="s">
        <v>154</v>
      </c>
    </row>
    <row r="129" spans="2:9" ht="14.4" x14ac:dyDescent="0.3">
      <c r="B129" s="22">
        <v>46206</v>
      </c>
      <c r="C129" s="23" t="s">
        <v>164</v>
      </c>
      <c r="D129" s="23" t="s">
        <v>159</v>
      </c>
      <c r="E129" s="23" t="s">
        <v>165</v>
      </c>
      <c r="F129" s="24">
        <v>79</v>
      </c>
      <c r="G129" s="25" t="s">
        <v>102</v>
      </c>
      <c r="H129" s="23" t="s">
        <v>162</v>
      </c>
      <c r="I129" s="23" t="s">
        <v>154</v>
      </c>
    </row>
    <row r="130" spans="2:9" ht="14.4" x14ac:dyDescent="0.3">
      <c r="B130" s="22">
        <v>46208</v>
      </c>
      <c r="C130" s="23" t="s">
        <v>166</v>
      </c>
      <c r="D130" s="23" t="s">
        <v>151</v>
      </c>
      <c r="E130" s="23" t="s">
        <v>167</v>
      </c>
      <c r="F130" s="24">
        <v>300.17</v>
      </c>
      <c r="G130" s="25" t="s">
        <v>102</v>
      </c>
      <c r="H130" s="23" t="s">
        <v>168</v>
      </c>
      <c r="I130" s="23"/>
    </row>
    <row r="131" spans="2:9" ht="14.4" x14ac:dyDescent="0.3">
      <c r="B131" s="22">
        <v>46211</v>
      </c>
      <c r="C131" s="23" t="s">
        <v>170</v>
      </c>
      <c r="D131" s="23" t="s">
        <v>159</v>
      </c>
      <c r="E131" s="23" t="s">
        <v>171</v>
      </c>
      <c r="F131" s="24">
        <v>89</v>
      </c>
      <c r="G131" s="25" t="s">
        <v>102</v>
      </c>
      <c r="H131" s="23" t="s">
        <v>162</v>
      </c>
      <c r="I131" s="23" t="s">
        <v>154</v>
      </c>
    </row>
    <row r="132" spans="2:9" ht="14.4" x14ac:dyDescent="0.3">
      <c r="B132" s="22">
        <v>46215</v>
      </c>
      <c r="C132" s="23" t="s">
        <v>179</v>
      </c>
      <c r="D132" s="23" t="s">
        <v>178</v>
      </c>
      <c r="E132" s="23" t="s">
        <v>180</v>
      </c>
      <c r="F132" s="24">
        <v>162.28</v>
      </c>
      <c r="G132" s="25" t="s">
        <v>102</v>
      </c>
      <c r="H132" s="23" t="s">
        <v>168</v>
      </c>
      <c r="I132" s="23"/>
    </row>
    <row r="133" spans="2:9" ht="14.4" x14ac:dyDescent="0.3">
      <c r="B133" s="22">
        <v>46218</v>
      </c>
      <c r="C133" s="23" t="s">
        <v>183</v>
      </c>
      <c r="D133" s="23" t="s">
        <v>156</v>
      </c>
      <c r="E133" s="23" t="s">
        <v>184</v>
      </c>
      <c r="F133" s="24">
        <v>450</v>
      </c>
      <c r="G133" s="25" t="s">
        <v>102</v>
      </c>
      <c r="H133" s="23" t="s">
        <v>153</v>
      </c>
      <c r="I133" s="23"/>
    </row>
    <row r="134" spans="2:9" ht="14.4" x14ac:dyDescent="0.3">
      <c r="B134" s="22">
        <v>46219</v>
      </c>
      <c r="C134" s="23" t="s">
        <v>176</v>
      </c>
      <c r="D134" s="23" t="s">
        <v>169</v>
      </c>
      <c r="E134" s="23" t="s">
        <v>177</v>
      </c>
      <c r="F134" s="24">
        <v>70.47</v>
      </c>
      <c r="G134" s="25" t="s">
        <v>102</v>
      </c>
      <c r="H134" s="23" t="s">
        <v>162</v>
      </c>
      <c r="I134" s="23"/>
    </row>
    <row r="135" spans="2:9" ht="14.4" x14ac:dyDescent="0.3">
      <c r="B135" s="22">
        <v>46222</v>
      </c>
      <c r="C135" s="23" t="s">
        <v>181</v>
      </c>
      <c r="D135" s="23" t="s">
        <v>163</v>
      </c>
      <c r="E135" s="23" t="s">
        <v>182</v>
      </c>
      <c r="F135" s="24">
        <v>905.65</v>
      </c>
      <c r="G135" s="25" t="s">
        <v>102</v>
      </c>
      <c r="H135" s="23" t="s">
        <v>162</v>
      </c>
      <c r="I135" s="23"/>
    </row>
    <row r="136" spans="2:9" ht="14.4" x14ac:dyDescent="0.3">
      <c r="B136" s="22">
        <v>46223</v>
      </c>
      <c r="C136" s="23" t="s">
        <v>185</v>
      </c>
      <c r="D136" s="23" t="s">
        <v>175</v>
      </c>
      <c r="E136" s="23" t="s">
        <v>186</v>
      </c>
      <c r="F136" s="24">
        <v>540</v>
      </c>
      <c r="G136" s="25" t="s">
        <v>102</v>
      </c>
      <c r="H136" s="23" t="s">
        <v>153</v>
      </c>
      <c r="I136" s="23"/>
    </row>
    <row r="137" spans="2:9" ht="14.4" x14ac:dyDescent="0.3">
      <c r="B137" s="22">
        <v>46231</v>
      </c>
      <c r="C137" s="23" t="s">
        <v>188</v>
      </c>
      <c r="D137" s="23" t="s">
        <v>156</v>
      </c>
      <c r="E137" s="23" t="s">
        <v>189</v>
      </c>
      <c r="F137" s="24">
        <v>2400</v>
      </c>
      <c r="G137" s="25" t="s">
        <v>102</v>
      </c>
      <c r="H137" s="23" t="s">
        <v>153</v>
      </c>
      <c r="I137" s="23" t="s">
        <v>154</v>
      </c>
    </row>
    <row r="138" spans="2:9" ht="14.4" x14ac:dyDescent="0.3">
      <c r="B138" s="22">
        <v>46235</v>
      </c>
      <c r="C138" s="23" t="s">
        <v>150</v>
      </c>
      <c r="D138" s="23" t="s">
        <v>151</v>
      </c>
      <c r="E138" s="23" t="s">
        <v>152</v>
      </c>
      <c r="F138" s="24">
        <v>1500</v>
      </c>
      <c r="G138" s="25" t="s">
        <v>102</v>
      </c>
      <c r="H138" s="23" t="s">
        <v>153</v>
      </c>
      <c r="I138" s="23" t="s">
        <v>154</v>
      </c>
    </row>
    <row r="139" spans="2:9" ht="14.4" x14ac:dyDescent="0.3">
      <c r="B139" s="22">
        <v>46236</v>
      </c>
      <c r="C139" s="23" t="s">
        <v>155</v>
      </c>
      <c r="D139" s="23" t="s">
        <v>156</v>
      </c>
      <c r="E139" s="23" t="s">
        <v>157</v>
      </c>
      <c r="F139" s="24">
        <v>900</v>
      </c>
      <c r="G139" s="25" t="s">
        <v>102</v>
      </c>
      <c r="H139" s="23" t="s">
        <v>153</v>
      </c>
      <c r="I139" s="23" t="s">
        <v>158</v>
      </c>
    </row>
    <row r="140" spans="2:9" ht="14.4" x14ac:dyDescent="0.3">
      <c r="B140" s="22">
        <v>46237</v>
      </c>
      <c r="C140" s="23" t="s">
        <v>160</v>
      </c>
      <c r="D140" s="23" t="s">
        <v>159</v>
      </c>
      <c r="E140" s="23" t="s">
        <v>161</v>
      </c>
      <c r="F140" s="24">
        <v>132</v>
      </c>
      <c r="G140" s="25" t="s">
        <v>102</v>
      </c>
      <c r="H140" s="23" t="s">
        <v>162</v>
      </c>
      <c r="I140" s="23" t="s">
        <v>154</v>
      </c>
    </row>
    <row r="141" spans="2:9" ht="14.4" x14ac:dyDescent="0.3">
      <c r="B141" s="22">
        <v>46237</v>
      </c>
      <c r="C141" s="23" t="s">
        <v>164</v>
      </c>
      <c r="D141" s="23" t="s">
        <v>159</v>
      </c>
      <c r="E141" s="23" t="s">
        <v>165</v>
      </c>
      <c r="F141" s="24">
        <v>79</v>
      </c>
      <c r="G141" s="25" t="s">
        <v>102</v>
      </c>
      <c r="H141" s="23" t="s">
        <v>162</v>
      </c>
      <c r="I141" s="23" t="s">
        <v>154</v>
      </c>
    </row>
    <row r="142" spans="2:9" ht="14.4" x14ac:dyDescent="0.3">
      <c r="B142" s="22">
        <v>46239</v>
      </c>
      <c r="C142" s="23" t="s">
        <v>166</v>
      </c>
      <c r="D142" s="23" t="s">
        <v>151</v>
      </c>
      <c r="E142" s="23" t="s">
        <v>167</v>
      </c>
      <c r="F142" s="24">
        <v>305.54000000000002</v>
      </c>
      <c r="G142" s="25" t="s">
        <v>102</v>
      </c>
      <c r="H142" s="23" t="s">
        <v>168</v>
      </c>
      <c r="I142" s="23"/>
    </row>
    <row r="143" spans="2:9" ht="14.4" x14ac:dyDescent="0.3">
      <c r="B143" s="22">
        <v>46242</v>
      </c>
      <c r="C143" s="23" t="s">
        <v>170</v>
      </c>
      <c r="D143" s="23" t="s">
        <v>159</v>
      </c>
      <c r="E143" s="23" t="s">
        <v>171</v>
      </c>
      <c r="F143" s="24">
        <v>89</v>
      </c>
      <c r="G143" s="25" t="s">
        <v>102</v>
      </c>
      <c r="H143" s="23" t="s">
        <v>162</v>
      </c>
      <c r="I143" s="23" t="s">
        <v>154</v>
      </c>
    </row>
    <row r="144" spans="2:9" ht="14.4" x14ac:dyDescent="0.3">
      <c r="B144" s="22">
        <v>46244</v>
      </c>
      <c r="C144" s="23" t="s">
        <v>181</v>
      </c>
      <c r="D144" s="23" t="s">
        <v>163</v>
      </c>
      <c r="E144" s="23" t="s">
        <v>182</v>
      </c>
      <c r="F144" s="24">
        <v>476.81</v>
      </c>
      <c r="G144" s="25" t="s">
        <v>102</v>
      </c>
      <c r="H144" s="23" t="s">
        <v>162</v>
      </c>
      <c r="I144" s="23"/>
    </row>
    <row r="145" spans="2:9" ht="14.4" x14ac:dyDescent="0.3">
      <c r="B145" s="22">
        <v>46246</v>
      </c>
      <c r="C145" s="23" t="s">
        <v>179</v>
      </c>
      <c r="D145" s="23" t="s">
        <v>178</v>
      </c>
      <c r="E145" s="23" t="s">
        <v>180</v>
      </c>
      <c r="F145" s="24">
        <v>163</v>
      </c>
      <c r="G145" s="25" t="s">
        <v>102</v>
      </c>
      <c r="H145" s="23" t="s">
        <v>168</v>
      </c>
      <c r="I145" s="23"/>
    </row>
    <row r="146" spans="2:9" ht="14.4" x14ac:dyDescent="0.3">
      <c r="B146" s="22">
        <v>46247</v>
      </c>
      <c r="C146" s="23" t="s">
        <v>176</v>
      </c>
      <c r="D146" s="23" t="s">
        <v>169</v>
      </c>
      <c r="E146" s="23" t="s">
        <v>177</v>
      </c>
      <c r="F146" s="24">
        <v>109.5</v>
      </c>
      <c r="G146" s="25" t="s">
        <v>102</v>
      </c>
      <c r="H146" s="23" t="s">
        <v>162</v>
      </c>
      <c r="I146" s="23"/>
    </row>
    <row r="147" spans="2:9" ht="14.4" x14ac:dyDescent="0.3">
      <c r="B147" s="22">
        <v>46249</v>
      </c>
      <c r="C147" s="23" t="s">
        <v>183</v>
      </c>
      <c r="D147" s="23" t="s">
        <v>156</v>
      </c>
      <c r="E147" s="23" t="s">
        <v>184</v>
      </c>
      <c r="F147" s="24">
        <v>450</v>
      </c>
      <c r="G147" s="25" t="s">
        <v>102</v>
      </c>
      <c r="H147" s="23" t="s">
        <v>153</v>
      </c>
      <c r="I147" s="23"/>
    </row>
    <row r="148" spans="2:9" ht="14.4" x14ac:dyDescent="0.3">
      <c r="B148" s="22">
        <v>46250</v>
      </c>
      <c r="C148" s="23" t="s">
        <v>190</v>
      </c>
      <c r="D148" s="23" t="s">
        <v>163</v>
      </c>
      <c r="E148" s="23" t="s">
        <v>191</v>
      </c>
      <c r="F148" s="24">
        <v>340.83</v>
      </c>
      <c r="G148" s="25" t="s">
        <v>102</v>
      </c>
      <c r="H148" s="23" t="s">
        <v>162</v>
      </c>
      <c r="I148" s="23"/>
    </row>
    <row r="149" spans="2:9" ht="14.4" x14ac:dyDescent="0.3">
      <c r="B149" s="22">
        <v>46256</v>
      </c>
      <c r="C149" s="23" t="s">
        <v>192</v>
      </c>
      <c r="D149" s="23" t="s">
        <v>172</v>
      </c>
      <c r="E149" s="23" t="s">
        <v>193</v>
      </c>
      <c r="F149" s="24">
        <v>347.22</v>
      </c>
      <c r="G149" s="25" t="s">
        <v>102</v>
      </c>
      <c r="H149" s="23" t="s">
        <v>162</v>
      </c>
      <c r="I149" s="23" t="s">
        <v>194</v>
      </c>
    </row>
    <row r="150" spans="2:9" ht="14.4" x14ac:dyDescent="0.3">
      <c r="B150" s="22">
        <v>46257</v>
      </c>
      <c r="C150" s="23" t="s">
        <v>173</v>
      </c>
      <c r="D150" s="23" t="s">
        <v>172</v>
      </c>
      <c r="E150" s="23" t="s">
        <v>174</v>
      </c>
      <c r="F150" s="24">
        <v>155.44999999999999</v>
      </c>
      <c r="G150" s="25" t="s">
        <v>102</v>
      </c>
      <c r="H150" s="23" t="s">
        <v>162</v>
      </c>
      <c r="I150" s="23"/>
    </row>
    <row r="151" spans="2:9" ht="14.4" x14ac:dyDescent="0.3">
      <c r="B151" s="22">
        <v>46262</v>
      </c>
      <c r="C151" s="23" t="s">
        <v>188</v>
      </c>
      <c r="D151" s="23" t="s">
        <v>156</v>
      </c>
      <c r="E151" s="23" t="s">
        <v>189</v>
      </c>
      <c r="F151" s="24">
        <v>2400</v>
      </c>
      <c r="G151" s="25" t="s">
        <v>102</v>
      </c>
      <c r="H151" s="23" t="s">
        <v>153</v>
      </c>
      <c r="I151" s="23" t="s">
        <v>154</v>
      </c>
    </row>
    <row r="152" spans="2:9" ht="14.4" x14ac:dyDescent="0.3">
      <c r="B152" s="22">
        <v>46266</v>
      </c>
      <c r="C152" s="23" t="s">
        <v>150</v>
      </c>
      <c r="D152" s="23" t="s">
        <v>151</v>
      </c>
      <c r="E152" s="23" t="s">
        <v>152</v>
      </c>
      <c r="F152" s="24">
        <v>1500</v>
      </c>
      <c r="G152" s="25" t="s">
        <v>102</v>
      </c>
      <c r="H152" s="23" t="s">
        <v>153</v>
      </c>
      <c r="I152" s="23" t="s">
        <v>154</v>
      </c>
    </row>
    <row r="153" spans="2:9" ht="14.4" x14ac:dyDescent="0.3">
      <c r="B153" s="22">
        <v>46267</v>
      </c>
      <c r="C153" s="23" t="s">
        <v>155</v>
      </c>
      <c r="D153" s="23" t="s">
        <v>156</v>
      </c>
      <c r="E153" s="23" t="s">
        <v>157</v>
      </c>
      <c r="F153" s="24">
        <v>900</v>
      </c>
      <c r="G153" s="25" t="s">
        <v>103</v>
      </c>
      <c r="H153" s="23" t="s">
        <v>153</v>
      </c>
      <c r="I153" s="23" t="s">
        <v>158</v>
      </c>
    </row>
    <row r="154" spans="2:9" ht="14.4" x14ac:dyDescent="0.3">
      <c r="B154" s="22">
        <v>46268</v>
      </c>
      <c r="C154" s="23" t="s">
        <v>160</v>
      </c>
      <c r="D154" s="23" t="s">
        <v>159</v>
      </c>
      <c r="E154" s="23" t="s">
        <v>161</v>
      </c>
      <c r="F154" s="24">
        <v>132</v>
      </c>
      <c r="G154" s="25" t="s">
        <v>102</v>
      </c>
      <c r="H154" s="23" t="s">
        <v>162</v>
      </c>
      <c r="I154" s="23" t="s">
        <v>154</v>
      </c>
    </row>
    <row r="155" spans="2:9" ht="14.4" x14ac:dyDescent="0.3">
      <c r="B155" s="22">
        <v>46268</v>
      </c>
      <c r="C155" s="23" t="s">
        <v>164</v>
      </c>
      <c r="D155" s="23" t="s">
        <v>159</v>
      </c>
      <c r="E155" s="23" t="s">
        <v>165</v>
      </c>
      <c r="F155" s="24">
        <v>79</v>
      </c>
      <c r="G155" s="25" t="s">
        <v>102</v>
      </c>
      <c r="H155" s="23" t="s">
        <v>162</v>
      </c>
      <c r="I155" s="23" t="s">
        <v>154</v>
      </c>
    </row>
    <row r="156" spans="2:9" ht="14.4" x14ac:dyDescent="0.3">
      <c r="B156" s="22">
        <v>46270</v>
      </c>
      <c r="C156" s="23" t="s">
        <v>166</v>
      </c>
      <c r="D156" s="23" t="s">
        <v>151</v>
      </c>
      <c r="E156" s="23" t="s">
        <v>167</v>
      </c>
      <c r="F156" s="24">
        <v>287.56</v>
      </c>
      <c r="G156" s="25" t="s">
        <v>102</v>
      </c>
      <c r="H156" s="23" t="s">
        <v>168</v>
      </c>
      <c r="I156" s="23"/>
    </row>
    <row r="157" spans="2:9" ht="14.4" x14ac:dyDescent="0.3">
      <c r="B157" s="22">
        <v>46273</v>
      </c>
      <c r="C157" s="23" t="s">
        <v>170</v>
      </c>
      <c r="D157" s="23" t="s">
        <v>159</v>
      </c>
      <c r="E157" s="23" t="s">
        <v>171</v>
      </c>
      <c r="F157" s="24">
        <v>89</v>
      </c>
      <c r="G157" s="25" t="s">
        <v>103</v>
      </c>
      <c r="H157" s="23" t="s">
        <v>162</v>
      </c>
      <c r="I157" s="23" t="s">
        <v>154</v>
      </c>
    </row>
    <row r="158" spans="2:9" ht="14.4" x14ac:dyDescent="0.3">
      <c r="B158" s="22">
        <v>46277</v>
      </c>
      <c r="C158" s="23" t="s">
        <v>179</v>
      </c>
      <c r="D158" s="23" t="s">
        <v>178</v>
      </c>
      <c r="E158" s="23" t="s">
        <v>180</v>
      </c>
      <c r="F158" s="24">
        <v>178.98</v>
      </c>
      <c r="G158" s="25" t="s">
        <v>102</v>
      </c>
      <c r="H158" s="23" t="s">
        <v>168</v>
      </c>
      <c r="I158" s="23"/>
    </row>
    <row r="159" spans="2:9" ht="14.4" x14ac:dyDescent="0.3">
      <c r="B159" s="22">
        <v>46279</v>
      </c>
      <c r="C159" s="23" t="s">
        <v>181</v>
      </c>
      <c r="D159" s="23" t="s">
        <v>163</v>
      </c>
      <c r="E159" s="23" t="s">
        <v>182</v>
      </c>
      <c r="F159" s="24">
        <v>542.77</v>
      </c>
      <c r="G159" s="25" t="s">
        <v>103</v>
      </c>
      <c r="H159" s="23" t="s">
        <v>162</v>
      </c>
      <c r="I159" s="23"/>
    </row>
    <row r="160" spans="2:9" ht="14.4" x14ac:dyDescent="0.3">
      <c r="B160" s="22">
        <v>46280</v>
      </c>
      <c r="C160" s="23" t="s">
        <v>183</v>
      </c>
      <c r="D160" s="23" t="s">
        <v>156</v>
      </c>
      <c r="E160" s="23" t="s">
        <v>184</v>
      </c>
      <c r="F160" s="24">
        <v>600</v>
      </c>
      <c r="G160" s="25" t="s">
        <v>103</v>
      </c>
      <c r="H160" s="23" t="s">
        <v>153</v>
      </c>
      <c r="I160" s="23"/>
    </row>
    <row r="161" spans="2:9" ht="14.4" x14ac:dyDescent="0.3">
      <c r="B161" s="22">
        <v>46280</v>
      </c>
      <c r="C161" s="23" t="s">
        <v>195</v>
      </c>
      <c r="D161" s="23" t="s">
        <v>178</v>
      </c>
      <c r="E161" s="23" t="s">
        <v>196</v>
      </c>
      <c r="F161" s="24">
        <v>1533.72</v>
      </c>
      <c r="G161" s="25" t="s">
        <v>102</v>
      </c>
      <c r="H161" s="23" t="s">
        <v>153</v>
      </c>
      <c r="I161" s="23"/>
    </row>
    <row r="162" spans="2:9" ht="14.4" x14ac:dyDescent="0.3">
      <c r="B162" s="22">
        <v>46285</v>
      </c>
      <c r="C162" s="23" t="s">
        <v>176</v>
      </c>
      <c r="D162" s="23" t="s">
        <v>169</v>
      </c>
      <c r="E162" s="23" t="s">
        <v>177</v>
      </c>
      <c r="F162" s="24">
        <v>165.59</v>
      </c>
      <c r="G162" s="25" t="s">
        <v>102</v>
      </c>
      <c r="H162" s="23" t="s">
        <v>162</v>
      </c>
      <c r="I162" s="23"/>
    </row>
    <row r="163" spans="2:9" ht="14.4" x14ac:dyDescent="0.3">
      <c r="B163" s="22">
        <v>46293</v>
      </c>
      <c r="C163" s="23" t="s">
        <v>188</v>
      </c>
      <c r="D163" s="23" t="s">
        <v>156</v>
      </c>
      <c r="E163" s="23" t="s">
        <v>189</v>
      </c>
      <c r="F163" s="24">
        <v>2400</v>
      </c>
      <c r="G163" s="25" t="s">
        <v>103</v>
      </c>
      <c r="H163" s="23" t="s">
        <v>153</v>
      </c>
      <c r="I163" s="23" t="s">
        <v>154</v>
      </c>
    </row>
  </sheetData>
  <mergeCells count="16">
    <mergeCell ref="D6:E6"/>
    <mergeCell ref="B6:C6"/>
    <mergeCell ref="B1:O1"/>
    <mergeCell ref="F4:G4"/>
    <mergeCell ref="K34:O34"/>
    <mergeCell ref="H6:I6"/>
    <mergeCell ref="B5:C5"/>
    <mergeCell ref="B2:O2"/>
    <mergeCell ref="D5:E5"/>
    <mergeCell ref="F5:G5"/>
    <mergeCell ref="F6:G6"/>
    <mergeCell ref="D4:E4"/>
    <mergeCell ref="H5:I5"/>
    <mergeCell ref="H4:I4"/>
    <mergeCell ref="B4:C4"/>
    <mergeCell ref="K18:O18"/>
  </mergeCells>
  <conditionalFormatting sqref="G9:G163">
    <cfRule type="cellIs" dxfId="20" priority="1" operator="equal">
      <formula>"Pending"</formula>
    </cfRule>
    <cfRule type="cellIs" dxfId="19" priority="2" operator="equal">
      <formula>"Paid"</formula>
    </cfRule>
  </conditionalFormatting>
  <conditionalFormatting sqref="L9:L16">
    <cfRule type="dataBar" priority="3">
      <dataBar>
        <cfvo type="num" val="0"/>
        <cfvo type="max"/>
        <color rgb="FF9DB7D5"/>
      </dataBar>
    </cfRule>
  </conditionalFormatting>
  <dataValidations count="3">
    <dataValidation type="list" allowBlank="1" sqref="G9:G163" xr:uid="{00000000-0002-0000-0200-000000000000}">
      <formula1>"Paid,Pending"</formula1>
    </dataValidation>
    <dataValidation type="list" allowBlank="1" sqref="H9:H163" xr:uid="{00000000-0002-0000-0200-000001000000}">
      <formula1>"Bank Transfer,Credit Card,Direct Debit,Cash,Cheque,Other"</formula1>
    </dataValidation>
    <dataValidation type="list" allowBlank="1" sqref="D9:D163" xr:uid="{00000000-0002-0000-0200-000002000000}">
      <formula1>"Rent &amp; Utilities,Software &amp; Subscriptions,Marketing &amp; Advertising,Payroll &amp; Contractors,Office &amp; Supplies,Travel &amp; Meals,Professional Services,Taxes &amp; Fees"</formula1>
    </dataValidation>
  </dataValidations>
  <printOptions horizontalCentered="1"/>
  <pageMargins left="0.4" right="0.4" top="0.5" bottom="0.5" header="0.5" footer="0.5"/>
  <pageSetup fitToHeight="0" orientation="landscape"/>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A9D8F"/>
    <pageSetUpPr fitToPage="1"/>
  </sheetPr>
  <dimension ref="B1:Q89"/>
  <sheetViews>
    <sheetView showGridLines="0" workbookViewId="0">
      <pane ySplit="8" topLeftCell="A9" activePane="bottomLeft" state="frozen"/>
      <selection pane="bottomLeft"/>
    </sheetView>
  </sheetViews>
  <sheetFormatPr defaultRowHeight="16.05" customHeight="1" x14ac:dyDescent="0.3"/>
  <cols>
    <col min="1" max="1" width="2" customWidth="1"/>
    <col min="2" max="2" width="16" customWidth="1"/>
    <col min="3" max="3" width="27" customWidth="1"/>
    <col min="4" max="4" width="30" customWidth="1"/>
    <col min="5" max="7" width="13" customWidth="1"/>
    <col min="8" max="8" width="11" customWidth="1"/>
    <col min="9" max="9" width="13" customWidth="1"/>
    <col min="10" max="10" width="26" customWidth="1"/>
    <col min="11" max="11" width="13" customWidth="1"/>
    <col min="12" max="12" width="3" customWidth="1"/>
    <col min="13" max="13" width="28" customWidth="1"/>
    <col min="14" max="14" width="11" customWidth="1"/>
    <col min="15" max="15" width="15" customWidth="1"/>
    <col min="16" max="17" width="12" customWidth="1"/>
  </cols>
  <sheetData>
    <row r="1" spans="2:17" ht="34.049999999999997" customHeight="1" x14ac:dyDescent="0.3">
      <c r="B1" s="53" t="s">
        <v>198</v>
      </c>
      <c r="C1" s="53"/>
      <c r="D1" s="53"/>
      <c r="E1" s="53"/>
      <c r="F1" s="53"/>
      <c r="G1" s="53"/>
      <c r="H1" s="53"/>
      <c r="I1" s="53"/>
      <c r="J1" s="53"/>
      <c r="K1" s="53"/>
      <c r="L1" s="53"/>
      <c r="M1" s="53"/>
      <c r="N1" s="53"/>
      <c r="O1" s="53"/>
      <c r="P1" s="53"/>
      <c r="Q1" s="53"/>
    </row>
    <row r="2" spans="2:17" ht="22.05" customHeight="1" x14ac:dyDescent="0.3">
      <c r="B2" s="51" t="s">
        <v>199</v>
      </c>
      <c r="C2" s="51"/>
      <c r="D2" s="51"/>
      <c r="E2" s="51"/>
      <c r="F2" s="51"/>
      <c r="G2" s="51"/>
      <c r="H2" s="51"/>
      <c r="I2" s="51"/>
      <c r="J2" s="51"/>
      <c r="K2" s="51"/>
      <c r="L2" s="51"/>
      <c r="M2" s="51"/>
      <c r="N2" s="51"/>
      <c r="O2" s="51"/>
      <c r="P2" s="51"/>
      <c r="Q2" s="51"/>
    </row>
    <row r="3" spans="2:17" ht="6" customHeight="1" x14ac:dyDescent="0.3"/>
    <row r="4" spans="2:17" ht="18" customHeight="1" x14ac:dyDescent="0.3">
      <c r="B4" s="61" t="s">
        <v>200</v>
      </c>
      <c r="C4" s="62"/>
      <c r="D4" s="61" t="s">
        <v>201</v>
      </c>
      <c r="E4" s="62"/>
      <c r="F4" s="61" t="s">
        <v>202</v>
      </c>
      <c r="G4" s="62"/>
      <c r="H4" s="61" t="s">
        <v>203</v>
      </c>
      <c r="I4" s="62"/>
      <c r="J4" s="61" t="s">
        <v>204</v>
      </c>
      <c r="K4" s="62"/>
    </row>
    <row r="5" spans="2:17" ht="30" customHeight="1" x14ac:dyDescent="0.3">
      <c r="B5" s="66">
        <f>SUM(tblInvoices[Amount])</f>
        <v>105450</v>
      </c>
      <c r="C5" s="67"/>
      <c r="D5" s="66">
        <f>SUMIFS(tblInvoices[Amount],tblInvoices[Status],"Paid")</f>
        <v>89350</v>
      </c>
      <c r="E5" s="67"/>
      <c r="F5" s="66">
        <f>SUMIFS(tblInvoices[Amount],tblInvoices[Status],"Pending")</f>
        <v>16100</v>
      </c>
      <c r="G5" s="67"/>
      <c r="H5" s="74">
        <f>SUMIFS(tblInvoices[Amount],tblInvoices[Status],"Pending",tblInvoices[Due Date],"&lt;"&amp;AsOfDate)</f>
        <v>12860</v>
      </c>
      <c r="I5" s="67"/>
      <c r="J5" s="70">
        <f>COUNTIFS(tblInvoices[Days Overdue],"&gt;0")</f>
        <v>7</v>
      </c>
      <c r="K5" s="71"/>
    </row>
    <row r="6" spans="2:17" ht="16.05" customHeight="1" x14ac:dyDescent="0.3">
      <c r="B6" s="59" t="s">
        <v>205</v>
      </c>
      <c r="C6" s="60"/>
      <c r="D6" s="59" t="s">
        <v>206</v>
      </c>
      <c r="E6" s="60"/>
      <c r="F6" s="59" t="s">
        <v>207</v>
      </c>
      <c r="G6" s="60"/>
      <c r="H6" s="59" t="s">
        <v>208</v>
      </c>
      <c r="I6" s="60"/>
      <c r="J6" s="59" t="s">
        <v>209</v>
      </c>
      <c r="K6" s="60"/>
    </row>
    <row r="7" spans="2:17" ht="6" customHeight="1" x14ac:dyDescent="0.3"/>
    <row r="8" spans="2:17" ht="19.95" customHeight="1" x14ac:dyDescent="0.3">
      <c r="B8" s="21" t="s">
        <v>210</v>
      </c>
      <c r="C8" s="21" t="s">
        <v>211</v>
      </c>
      <c r="D8" s="21" t="s">
        <v>144</v>
      </c>
      <c r="E8" s="21" t="s">
        <v>212</v>
      </c>
      <c r="F8" s="21" t="s">
        <v>213</v>
      </c>
      <c r="G8" s="21" t="s">
        <v>145</v>
      </c>
      <c r="H8" s="21" t="s">
        <v>214</v>
      </c>
      <c r="I8" s="21" t="s">
        <v>215</v>
      </c>
      <c r="J8" s="21" t="s">
        <v>147</v>
      </c>
      <c r="K8" s="26" t="s">
        <v>216</v>
      </c>
      <c r="M8" s="3" t="s">
        <v>217</v>
      </c>
      <c r="N8" s="4" t="s">
        <v>198</v>
      </c>
      <c r="O8" s="4" t="s">
        <v>145</v>
      </c>
      <c r="P8" s="4" t="s">
        <v>149</v>
      </c>
    </row>
    <row r="9" spans="2:17" ht="14.4" x14ac:dyDescent="0.3">
      <c r="B9" s="23" t="s">
        <v>218</v>
      </c>
      <c r="C9" s="23" t="s">
        <v>219</v>
      </c>
      <c r="D9" s="23" t="s">
        <v>220</v>
      </c>
      <c r="E9" s="22">
        <v>45934</v>
      </c>
      <c r="F9" s="22">
        <v>45948</v>
      </c>
      <c r="G9" s="24">
        <v>1200</v>
      </c>
      <c r="H9" s="25" t="s">
        <v>102</v>
      </c>
      <c r="I9" s="22">
        <v>45953</v>
      </c>
      <c r="J9" s="23" t="s">
        <v>221</v>
      </c>
      <c r="K9" s="27">
        <f>IF(AND(tblInvoices[[#This Row],[Status]]="Pending",tblInvoices[[#This Row],[Due Date]]&lt;AsOfDate),AsOfDate-tblInvoices[[#This Row],[Due Date]],0)</f>
        <v>0</v>
      </c>
      <c r="M9" s="15" t="s">
        <v>102</v>
      </c>
      <c r="N9" s="10">
        <f>COUNTIFS(tblInvoices[Status],$M9)</f>
        <v>71</v>
      </c>
      <c r="O9" s="11">
        <f>SUMIFS(tblInvoices[Amount],tblInvoices[Status],$M9)</f>
        <v>89350</v>
      </c>
      <c r="P9" s="16">
        <f>IF($O$11=0,0,O9/$O$11)</f>
        <v>0.84732100521574205</v>
      </c>
    </row>
    <row r="10" spans="2:17" ht="14.4" x14ac:dyDescent="0.3">
      <c r="B10" s="23" t="s">
        <v>222</v>
      </c>
      <c r="C10" s="23" t="s">
        <v>223</v>
      </c>
      <c r="D10" s="23" t="s">
        <v>224</v>
      </c>
      <c r="E10" s="22">
        <v>45934</v>
      </c>
      <c r="F10" s="22">
        <v>45948</v>
      </c>
      <c r="G10" s="24">
        <v>2600</v>
      </c>
      <c r="H10" s="25" t="s">
        <v>102</v>
      </c>
      <c r="I10" s="22">
        <v>45947</v>
      </c>
      <c r="J10" s="23" t="s">
        <v>225</v>
      </c>
      <c r="K10" s="27">
        <f>IF(AND(tblInvoices[[#This Row],[Status]]="Pending",tblInvoices[[#This Row],[Due Date]]&lt;AsOfDate),AsOfDate-tblInvoices[[#This Row],[Due Date]],0)</f>
        <v>0</v>
      </c>
      <c r="M10" s="15" t="s">
        <v>103</v>
      </c>
      <c r="N10" s="10">
        <f>COUNTIFS(tblInvoices[Status],$M10)</f>
        <v>10</v>
      </c>
      <c r="O10" s="11">
        <f>SUMIFS(tblInvoices[Amount],tblInvoices[Status],$M10)</f>
        <v>16100</v>
      </c>
      <c r="P10" s="16">
        <f>IF($O$11=0,0,O10/$O$11)</f>
        <v>0.15267899478425795</v>
      </c>
    </row>
    <row r="11" spans="2:17" ht="14.4" x14ac:dyDescent="0.3">
      <c r="B11" s="23" t="s">
        <v>226</v>
      </c>
      <c r="C11" s="23" t="s">
        <v>227</v>
      </c>
      <c r="D11" s="23" t="s">
        <v>228</v>
      </c>
      <c r="E11" s="22">
        <v>45941</v>
      </c>
      <c r="F11" s="22">
        <v>45971</v>
      </c>
      <c r="G11" s="24">
        <v>700</v>
      </c>
      <c r="H11" s="25" t="s">
        <v>102</v>
      </c>
      <c r="I11" s="22">
        <v>45963</v>
      </c>
      <c r="J11" s="23" t="s">
        <v>229</v>
      </c>
      <c r="K11" s="27">
        <f>IF(AND(tblInvoices[[#This Row],[Status]]="Pending",tblInvoices[[#This Row],[Due Date]]&lt;AsOfDate),AsOfDate-tblInvoices[[#This Row],[Due Date]],0)</f>
        <v>0</v>
      </c>
      <c r="M11" s="12" t="s">
        <v>230</v>
      </c>
      <c r="N11" s="13">
        <f>SUM(N9:N10)</f>
        <v>81</v>
      </c>
      <c r="O11" s="14">
        <f>SUM(O9:O10)</f>
        <v>105450</v>
      </c>
      <c r="P11" s="17">
        <f>SUM(P9:P10)</f>
        <v>1</v>
      </c>
    </row>
    <row r="12" spans="2:17" ht="14.4" x14ac:dyDescent="0.3">
      <c r="B12" s="23" t="s">
        <v>231</v>
      </c>
      <c r="C12" s="23" t="s">
        <v>232</v>
      </c>
      <c r="D12" s="23" t="s">
        <v>233</v>
      </c>
      <c r="E12" s="22">
        <v>45958</v>
      </c>
      <c r="F12" s="22">
        <v>45988</v>
      </c>
      <c r="G12" s="24">
        <v>600</v>
      </c>
      <c r="H12" s="25" t="s">
        <v>102</v>
      </c>
      <c r="I12" s="22">
        <v>45976</v>
      </c>
      <c r="J12" s="23" t="s">
        <v>234</v>
      </c>
      <c r="K12" s="27">
        <f>IF(AND(tblInvoices[[#This Row],[Status]]="Pending",tblInvoices[[#This Row],[Due Date]]&lt;AsOfDate),AsOfDate-tblInvoices[[#This Row],[Due Date]],0)</f>
        <v>0</v>
      </c>
      <c r="M12" s="15" t="s">
        <v>235</v>
      </c>
      <c r="O12" s="28">
        <f>IFERROR(SUMPRODUCT((tblInvoices[Status]="Paid")*(tblInvoices[Payment Date]-tblInvoices[Invoice Date]))/COUNTIFS(tblInvoices[Status],"Paid"),"N/A")</f>
        <v>19.098591549295776</v>
      </c>
    </row>
    <row r="13" spans="2:17" ht="14.4" x14ac:dyDescent="0.3">
      <c r="B13" s="23" t="s">
        <v>236</v>
      </c>
      <c r="C13" s="23" t="s">
        <v>237</v>
      </c>
      <c r="D13" s="23" t="s">
        <v>238</v>
      </c>
      <c r="E13" s="22">
        <v>45962</v>
      </c>
      <c r="F13" s="22">
        <v>45992</v>
      </c>
      <c r="G13" s="24">
        <v>720</v>
      </c>
      <c r="H13" s="25" t="s">
        <v>102</v>
      </c>
      <c r="I13" s="22">
        <v>45994</v>
      </c>
      <c r="J13" s="23" t="s">
        <v>239</v>
      </c>
      <c r="K13" s="27">
        <f>IF(AND(tblInvoices[[#This Row],[Status]]="Pending",tblInvoices[[#This Row],[Due Date]]&lt;AsOfDate),AsOfDate-tblInvoices[[#This Row],[Due Date]],0)</f>
        <v>0</v>
      </c>
      <c r="M13" s="72" t="str">
        <f>IF(ABS(O11-B5)&lt;0.005,"✓ Status totals match Total Invoiced","⚠ Some invoices have a status other than Paid or Pending")</f>
        <v>✓ Status totals match Total Invoiced</v>
      </c>
      <c r="N13" s="72"/>
      <c r="O13" s="72"/>
      <c r="P13" s="72"/>
    </row>
    <row r="14" spans="2:17" ht="14.4" x14ac:dyDescent="0.3">
      <c r="B14" s="23" t="s">
        <v>240</v>
      </c>
      <c r="C14" s="23" t="s">
        <v>241</v>
      </c>
      <c r="D14" s="23" t="s">
        <v>242</v>
      </c>
      <c r="E14" s="22">
        <v>45971</v>
      </c>
      <c r="F14" s="22">
        <v>46001</v>
      </c>
      <c r="G14" s="24">
        <v>960</v>
      </c>
      <c r="H14" s="25" t="s">
        <v>102</v>
      </c>
      <c r="I14" s="22">
        <v>45999</v>
      </c>
      <c r="J14" s="23" t="s">
        <v>243</v>
      </c>
      <c r="K14" s="27">
        <f>IF(AND(tblInvoices[[#This Row],[Status]]="Pending",tblInvoices[[#This Row],[Due Date]]&lt;AsOfDate),AsOfDate-tblInvoices[[#This Row],[Due Date]],0)</f>
        <v>0</v>
      </c>
    </row>
    <row r="15" spans="2:17" ht="19.95" customHeight="1" x14ac:dyDescent="0.3">
      <c r="B15" s="23" t="s">
        <v>244</v>
      </c>
      <c r="C15" s="23" t="s">
        <v>245</v>
      </c>
      <c r="D15" s="23" t="s">
        <v>246</v>
      </c>
      <c r="E15" s="22">
        <v>45980</v>
      </c>
      <c r="F15" s="22">
        <v>46010</v>
      </c>
      <c r="G15" s="24">
        <v>900</v>
      </c>
      <c r="H15" s="25" t="s">
        <v>102</v>
      </c>
      <c r="I15" s="22">
        <v>46015</v>
      </c>
      <c r="J15" s="23" t="s">
        <v>247</v>
      </c>
      <c r="K15" s="27">
        <f>IF(AND(tblInvoices[[#This Row],[Status]]="Pending",tblInvoices[[#This Row],[Due Date]]&lt;AsOfDate),AsOfDate-tblInvoices[[#This Row],[Due Date]],0)</f>
        <v>0</v>
      </c>
      <c r="M15" s="3" t="s">
        <v>248</v>
      </c>
      <c r="N15" s="4" t="s">
        <v>198</v>
      </c>
      <c r="O15" s="4" t="s">
        <v>145</v>
      </c>
      <c r="P15" s="4" t="s">
        <v>249</v>
      </c>
    </row>
    <row r="16" spans="2:17" ht="14.4" x14ac:dyDescent="0.3">
      <c r="B16" s="23" t="s">
        <v>250</v>
      </c>
      <c r="C16" s="23" t="s">
        <v>219</v>
      </c>
      <c r="D16" s="23" t="s">
        <v>251</v>
      </c>
      <c r="E16" s="22">
        <v>45984</v>
      </c>
      <c r="F16" s="22">
        <v>46014</v>
      </c>
      <c r="G16" s="24">
        <v>960</v>
      </c>
      <c r="H16" s="25" t="s">
        <v>102</v>
      </c>
      <c r="I16" s="22">
        <v>46013</v>
      </c>
      <c r="J16" s="23" t="s">
        <v>252</v>
      </c>
      <c r="K16" s="27">
        <f>IF(AND(tblInvoices[[#This Row],[Status]]="Pending",tblInvoices[[#This Row],[Due Date]]&lt;AsOfDate),AsOfDate-tblInvoices[[#This Row],[Due Date]],0)</f>
        <v>0</v>
      </c>
      <c r="M16" s="15" t="s">
        <v>253</v>
      </c>
      <c r="N16" s="10">
        <f>COUNTIFS(tblInvoices[Status],"Pending",tblInvoices[Days Overdue],0)</f>
        <v>3</v>
      </c>
      <c r="O16" s="11">
        <f>SUMIFS(tblInvoices[Amount],tblInvoices[Status],"Pending",tblInvoices[Days Overdue],0)</f>
        <v>3240</v>
      </c>
      <c r="P16" s="16">
        <f>IF($O$21=0,0,O16/$O$21)</f>
        <v>0.20124223602484473</v>
      </c>
    </row>
    <row r="17" spans="2:16" ht="14.4" x14ac:dyDescent="0.3">
      <c r="B17" s="23" t="s">
        <v>254</v>
      </c>
      <c r="C17" s="23" t="s">
        <v>219</v>
      </c>
      <c r="D17" s="23" t="s">
        <v>255</v>
      </c>
      <c r="E17" s="22">
        <v>45989</v>
      </c>
      <c r="F17" s="22">
        <v>46003</v>
      </c>
      <c r="G17" s="24">
        <v>1080</v>
      </c>
      <c r="H17" s="25" t="s">
        <v>102</v>
      </c>
      <c r="I17" s="22">
        <v>46007</v>
      </c>
      <c r="J17" s="23" t="s">
        <v>256</v>
      </c>
      <c r="K17" s="27">
        <f>IF(AND(tblInvoices[[#This Row],[Status]]="Pending",tblInvoices[[#This Row],[Due Date]]&lt;AsOfDate),AsOfDate-tblInvoices[[#This Row],[Due Date]],0)</f>
        <v>0</v>
      </c>
      <c r="M17" s="15" t="s">
        <v>257</v>
      </c>
      <c r="N17" s="10">
        <f>COUNTIFS(tblInvoices[Status],"Pending",tblInvoices[Days Overdue],"&gt;=1",tblInvoices[Days Overdue],"&lt;=30")</f>
        <v>1</v>
      </c>
      <c r="O17" s="11">
        <f>SUMIFS(tblInvoices[Amount],tblInvoices[Status],"Pending",tblInvoices[Days Overdue],"&gt;=1",tblInvoices[Days Overdue],"&lt;=30")</f>
        <v>2600</v>
      </c>
      <c r="P17" s="16">
        <f>IF($O$21=0,0,O17/$O$21)</f>
        <v>0.16149068322981366</v>
      </c>
    </row>
    <row r="18" spans="2:16" ht="14.4" x14ac:dyDescent="0.3">
      <c r="B18" s="23" t="s">
        <v>258</v>
      </c>
      <c r="C18" s="23" t="s">
        <v>241</v>
      </c>
      <c r="D18" s="23" t="s">
        <v>259</v>
      </c>
      <c r="E18" s="22">
        <v>45990</v>
      </c>
      <c r="F18" s="22">
        <v>46020</v>
      </c>
      <c r="G18" s="24">
        <v>1200</v>
      </c>
      <c r="H18" s="25" t="s">
        <v>102</v>
      </c>
      <c r="I18" s="22">
        <v>46004</v>
      </c>
      <c r="J18" s="23" t="s">
        <v>260</v>
      </c>
      <c r="K18" s="27">
        <f>IF(AND(tblInvoices[[#This Row],[Status]]="Pending",tblInvoices[[#This Row],[Due Date]]&lt;AsOfDate),AsOfDate-tblInvoices[[#This Row],[Due Date]],0)</f>
        <v>0</v>
      </c>
      <c r="M18" s="15" t="s">
        <v>261</v>
      </c>
      <c r="N18" s="10">
        <f>COUNTIFS(tblInvoices[Status],"Pending",tblInvoices[Days Overdue],"&gt;=31",tblInvoices[Days Overdue],"&lt;=60")</f>
        <v>1</v>
      </c>
      <c r="O18" s="11">
        <f>SUMIFS(tblInvoices[Amount],tblInvoices[Status],"Pending",tblInvoices[Days Overdue],"&gt;=31",tblInvoices[Days Overdue],"&lt;=60")</f>
        <v>1440</v>
      </c>
      <c r="P18" s="16">
        <f>IF($O$21=0,0,O18/$O$21)</f>
        <v>8.9440993788819881E-2</v>
      </c>
    </row>
    <row r="19" spans="2:16" ht="14.4" x14ac:dyDescent="0.3">
      <c r="B19" s="23" t="s">
        <v>262</v>
      </c>
      <c r="C19" s="23" t="s">
        <v>227</v>
      </c>
      <c r="D19" s="23" t="s">
        <v>263</v>
      </c>
      <c r="E19" s="22">
        <v>46000</v>
      </c>
      <c r="F19" s="22">
        <v>46030</v>
      </c>
      <c r="G19" s="24">
        <v>1950</v>
      </c>
      <c r="H19" s="25" t="s">
        <v>102</v>
      </c>
      <c r="I19" s="22">
        <v>46015</v>
      </c>
      <c r="J19" s="23" t="s">
        <v>264</v>
      </c>
      <c r="K19" s="27">
        <f>IF(AND(tblInvoices[[#This Row],[Status]]="Pending",tblInvoices[[#This Row],[Due Date]]&lt;AsOfDate),AsOfDate-tblInvoices[[#This Row],[Due Date]],0)</f>
        <v>0</v>
      </c>
      <c r="M19" s="15" t="s">
        <v>265</v>
      </c>
      <c r="N19" s="10">
        <f>COUNTIFS(tblInvoices[Status],"Pending",tblInvoices[Days Overdue],"&gt;=61",tblInvoices[Days Overdue],"&lt;=90")</f>
        <v>2</v>
      </c>
      <c r="O19" s="11">
        <f>SUMIFS(tblInvoices[Amount],tblInvoices[Status],"Pending",tblInvoices[Days Overdue],"&gt;=61",tblInvoices[Days Overdue],"&lt;=90")</f>
        <v>3240</v>
      </c>
      <c r="P19" s="16">
        <f>IF($O$21=0,0,O19/$O$21)</f>
        <v>0.20124223602484473</v>
      </c>
    </row>
    <row r="20" spans="2:16" ht="14.4" x14ac:dyDescent="0.3">
      <c r="B20" s="23" t="s">
        <v>266</v>
      </c>
      <c r="C20" s="23" t="s">
        <v>267</v>
      </c>
      <c r="D20" s="23" t="s">
        <v>228</v>
      </c>
      <c r="E20" s="22">
        <v>46004</v>
      </c>
      <c r="F20" s="22">
        <v>46018</v>
      </c>
      <c r="G20" s="24">
        <v>700</v>
      </c>
      <c r="H20" s="25" t="s">
        <v>102</v>
      </c>
      <c r="I20" s="22">
        <v>46022</v>
      </c>
      <c r="J20" s="23" t="s">
        <v>268</v>
      </c>
      <c r="K20" s="27">
        <f>IF(AND(tblInvoices[[#This Row],[Status]]="Pending",tblInvoices[[#This Row],[Due Date]]&lt;AsOfDate),AsOfDate-tblInvoices[[#This Row],[Due Date]],0)</f>
        <v>0</v>
      </c>
      <c r="M20" s="15" t="s">
        <v>269</v>
      </c>
      <c r="N20" s="10">
        <f>COUNTIFS(tblInvoices[Status],"Pending",tblInvoices[Days Overdue],"&gt;90")</f>
        <v>3</v>
      </c>
      <c r="O20" s="11">
        <f>SUMIFS(tblInvoices[Amount],tblInvoices[Status],"Pending",tblInvoices[Days Overdue],"&gt;90")</f>
        <v>5580</v>
      </c>
      <c r="P20" s="16">
        <f>IF($O$21=0,0,O20/$O$21)</f>
        <v>0.34658385093167704</v>
      </c>
    </row>
    <row r="21" spans="2:16" ht="14.4" x14ac:dyDescent="0.3">
      <c r="B21" s="23" t="s">
        <v>270</v>
      </c>
      <c r="C21" s="23" t="s">
        <v>237</v>
      </c>
      <c r="D21" s="23" t="s">
        <v>271</v>
      </c>
      <c r="E21" s="22">
        <v>46007</v>
      </c>
      <c r="F21" s="22">
        <v>46052</v>
      </c>
      <c r="G21" s="24">
        <v>720</v>
      </c>
      <c r="H21" s="25" t="s">
        <v>102</v>
      </c>
      <c r="I21" s="22">
        <v>46034</v>
      </c>
      <c r="J21" s="23" t="s">
        <v>272</v>
      </c>
      <c r="K21" s="27">
        <f>IF(AND(tblInvoices[[#This Row],[Status]]="Pending",tblInvoices[[#This Row],[Due Date]]&lt;AsOfDate),AsOfDate-tblInvoices[[#This Row],[Due Date]],0)</f>
        <v>0</v>
      </c>
      <c r="M21" s="12" t="s">
        <v>273</v>
      </c>
      <c r="N21" s="13">
        <f>SUM(N16:N20)</f>
        <v>10</v>
      </c>
      <c r="O21" s="14">
        <f>SUM(O16:O20)</f>
        <v>16100</v>
      </c>
      <c r="P21" s="17">
        <f>SUM(P16:P20)</f>
        <v>1</v>
      </c>
    </row>
    <row r="22" spans="2:16" ht="14.4" x14ac:dyDescent="0.3">
      <c r="B22" s="23" t="s">
        <v>274</v>
      </c>
      <c r="C22" s="23" t="s">
        <v>241</v>
      </c>
      <c r="D22" s="23" t="s">
        <v>224</v>
      </c>
      <c r="E22" s="22">
        <v>46008</v>
      </c>
      <c r="F22" s="22">
        <v>46038</v>
      </c>
      <c r="G22" s="24">
        <v>2600</v>
      </c>
      <c r="H22" s="25" t="s">
        <v>102</v>
      </c>
      <c r="I22" s="22">
        <v>46044</v>
      </c>
      <c r="J22" s="23" t="s">
        <v>275</v>
      </c>
      <c r="K22" s="27">
        <f>IF(AND(tblInvoices[[#This Row],[Status]]="Pending",tblInvoices[[#This Row],[Due Date]]&lt;AsOfDate),AsOfDate-tblInvoices[[#This Row],[Due Date]],0)</f>
        <v>0</v>
      </c>
      <c r="M22" s="72" t="str">
        <f>IF(ABS(O21-F5)&lt;0.005,"✓ Aging total matches Total Pending","⚠ Aging total does not match Total Pending")</f>
        <v>✓ Aging total matches Total Pending</v>
      </c>
      <c r="N22" s="72"/>
      <c r="O22" s="72"/>
      <c r="P22" s="72"/>
    </row>
    <row r="23" spans="2:16" ht="14.4" x14ac:dyDescent="0.3">
      <c r="B23" s="23" t="s">
        <v>276</v>
      </c>
      <c r="C23" s="23" t="s">
        <v>277</v>
      </c>
      <c r="D23" s="23" t="s">
        <v>246</v>
      </c>
      <c r="E23" s="22">
        <v>46009</v>
      </c>
      <c r="F23" s="22">
        <v>46023</v>
      </c>
      <c r="G23" s="24">
        <v>900</v>
      </c>
      <c r="H23" s="25" t="s">
        <v>102</v>
      </c>
      <c r="I23" s="22">
        <v>46027</v>
      </c>
      <c r="J23" s="23" t="s">
        <v>278</v>
      </c>
      <c r="K23" s="27">
        <f>IF(AND(tblInvoices[[#This Row],[Status]]="Pending",tblInvoices[[#This Row],[Due Date]]&lt;AsOfDate),AsOfDate-tblInvoices[[#This Row],[Due Date]],0)</f>
        <v>0</v>
      </c>
    </row>
    <row r="24" spans="2:16" ht="14.4" x14ac:dyDescent="0.3">
      <c r="B24" s="23" t="s">
        <v>279</v>
      </c>
      <c r="C24" s="23" t="s">
        <v>267</v>
      </c>
      <c r="D24" s="23" t="s">
        <v>259</v>
      </c>
      <c r="E24" s="22">
        <v>46012</v>
      </c>
      <c r="F24" s="22">
        <v>46042</v>
      </c>
      <c r="G24" s="24">
        <v>1200</v>
      </c>
      <c r="H24" s="25" t="s">
        <v>102</v>
      </c>
      <c r="I24" s="22">
        <v>46039</v>
      </c>
      <c r="J24" s="23" t="s">
        <v>280</v>
      </c>
      <c r="K24" s="27">
        <f>IF(AND(tblInvoices[[#This Row],[Status]]="Pending",tblInvoices[[#This Row],[Due Date]]&lt;AsOfDate),AsOfDate-tblInvoices[[#This Row],[Due Date]],0)</f>
        <v>0</v>
      </c>
    </row>
    <row r="25" spans="2:16" ht="14.4" x14ac:dyDescent="0.3">
      <c r="B25" s="23" t="s">
        <v>281</v>
      </c>
      <c r="C25" s="23" t="s">
        <v>223</v>
      </c>
      <c r="D25" s="23" t="s">
        <v>282</v>
      </c>
      <c r="E25" s="22">
        <v>46013</v>
      </c>
      <c r="F25" s="22">
        <v>46027</v>
      </c>
      <c r="G25" s="24">
        <v>1300</v>
      </c>
      <c r="H25" s="25" t="s">
        <v>102</v>
      </c>
      <c r="I25" s="22">
        <v>46032</v>
      </c>
      <c r="J25" s="23" t="s">
        <v>283</v>
      </c>
      <c r="K25" s="27">
        <f>IF(AND(tblInvoices[[#This Row],[Status]]="Pending",tblInvoices[[#This Row],[Due Date]]&lt;AsOfDate),AsOfDate-tblInvoices[[#This Row],[Due Date]],0)</f>
        <v>0</v>
      </c>
    </row>
    <row r="26" spans="2:16" ht="14.4" x14ac:dyDescent="0.3">
      <c r="B26" s="23" t="s">
        <v>284</v>
      </c>
      <c r="C26" s="23" t="s">
        <v>277</v>
      </c>
      <c r="D26" s="23" t="s">
        <v>242</v>
      </c>
      <c r="E26" s="22">
        <v>46014</v>
      </c>
      <c r="F26" s="22">
        <v>46044</v>
      </c>
      <c r="G26" s="24">
        <v>960</v>
      </c>
      <c r="H26" s="25" t="s">
        <v>102</v>
      </c>
      <c r="I26" s="22">
        <v>46025</v>
      </c>
      <c r="J26" s="23" t="s">
        <v>285</v>
      </c>
      <c r="K26" s="27">
        <f>IF(AND(tblInvoices[[#This Row],[Status]]="Pending",tblInvoices[[#This Row],[Due Date]]&lt;AsOfDate),AsOfDate-tblInvoices[[#This Row],[Due Date]],0)</f>
        <v>0</v>
      </c>
    </row>
    <row r="27" spans="2:16" ht="14.4" x14ac:dyDescent="0.3">
      <c r="B27" s="23" t="s">
        <v>286</v>
      </c>
      <c r="C27" s="23" t="s">
        <v>287</v>
      </c>
      <c r="D27" s="23" t="s">
        <v>255</v>
      </c>
      <c r="E27" s="22">
        <v>46017</v>
      </c>
      <c r="F27" s="22">
        <v>46047</v>
      </c>
      <c r="G27" s="24">
        <v>1080</v>
      </c>
      <c r="H27" s="25" t="s">
        <v>102</v>
      </c>
      <c r="I27" s="22">
        <v>46035</v>
      </c>
      <c r="J27" s="23" t="s">
        <v>288</v>
      </c>
      <c r="K27" s="27">
        <f>IF(AND(tblInvoices[[#This Row],[Status]]="Pending",tblInvoices[[#This Row],[Due Date]]&lt;AsOfDate),AsOfDate-tblInvoices[[#This Row],[Due Date]],0)</f>
        <v>0</v>
      </c>
    </row>
    <row r="28" spans="2:16" ht="14.4" x14ac:dyDescent="0.3">
      <c r="B28" s="23" t="s">
        <v>289</v>
      </c>
      <c r="C28" s="23" t="s">
        <v>290</v>
      </c>
      <c r="D28" s="23" t="s">
        <v>291</v>
      </c>
      <c r="E28" s="22">
        <v>46025</v>
      </c>
      <c r="F28" s="22">
        <v>46070</v>
      </c>
      <c r="G28" s="24">
        <v>1440</v>
      </c>
      <c r="H28" s="25" t="s">
        <v>102</v>
      </c>
      <c r="I28" s="22">
        <v>46048</v>
      </c>
      <c r="J28" s="23" t="s">
        <v>292</v>
      </c>
      <c r="K28" s="27">
        <f>IF(AND(tblInvoices[[#This Row],[Status]]="Pending",tblInvoices[[#This Row],[Due Date]]&lt;AsOfDate),AsOfDate-tblInvoices[[#This Row],[Due Date]],0)</f>
        <v>0</v>
      </c>
    </row>
    <row r="29" spans="2:16" ht="14.4" x14ac:dyDescent="0.3">
      <c r="B29" s="23" t="s">
        <v>293</v>
      </c>
      <c r="C29" s="23" t="s">
        <v>294</v>
      </c>
      <c r="D29" s="23" t="s">
        <v>238</v>
      </c>
      <c r="E29" s="22">
        <v>46034</v>
      </c>
      <c r="F29" s="22">
        <v>46064</v>
      </c>
      <c r="G29" s="24">
        <v>720</v>
      </c>
      <c r="H29" s="25" t="s">
        <v>102</v>
      </c>
      <c r="I29" s="22">
        <v>46064</v>
      </c>
      <c r="J29" s="23" t="s">
        <v>295</v>
      </c>
      <c r="K29" s="27">
        <f>IF(AND(tblInvoices[[#This Row],[Status]]="Pending",tblInvoices[[#This Row],[Due Date]]&lt;AsOfDate),AsOfDate-tblInvoices[[#This Row],[Due Date]],0)</f>
        <v>0</v>
      </c>
    </row>
    <row r="30" spans="2:16" ht="14.4" x14ac:dyDescent="0.3">
      <c r="B30" s="23" t="s">
        <v>296</v>
      </c>
      <c r="C30" s="23" t="s">
        <v>297</v>
      </c>
      <c r="D30" s="23" t="s">
        <v>220</v>
      </c>
      <c r="E30" s="22">
        <v>46036</v>
      </c>
      <c r="F30" s="22">
        <v>46081</v>
      </c>
      <c r="G30" s="24">
        <v>1200</v>
      </c>
      <c r="H30" s="25" t="s">
        <v>102</v>
      </c>
      <c r="I30" s="22">
        <v>46040</v>
      </c>
      <c r="J30" s="23" t="s">
        <v>298</v>
      </c>
      <c r="K30" s="27">
        <f>IF(AND(tblInvoices[[#This Row],[Status]]="Pending",tblInvoices[[#This Row],[Due Date]]&lt;AsOfDate),AsOfDate-tblInvoices[[#This Row],[Due Date]],0)</f>
        <v>0</v>
      </c>
    </row>
    <row r="31" spans="2:16" ht="14.4" x14ac:dyDescent="0.3">
      <c r="B31" s="23" t="s">
        <v>299</v>
      </c>
      <c r="C31" s="23" t="s">
        <v>300</v>
      </c>
      <c r="D31" s="23" t="s">
        <v>301</v>
      </c>
      <c r="E31" s="22">
        <v>46037</v>
      </c>
      <c r="F31" s="22">
        <v>46067</v>
      </c>
      <c r="G31" s="24">
        <v>1800</v>
      </c>
      <c r="H31" s="25" t="s">
        <v>102</v>
      </c>
      <c r="I31" s="22">
        <v>46073</v>
      </c>
      <c r="J31" s="23" t="s">
        <v>302</v>
      </c>
      <c r="K31" s="27">
        <f>IF(AND(tblInvoices[[#This Row],[Status]]="Pending",tblInvoices[[#This Row],[Due Date]]&lt;AsOfDate),AsOfDate-tblInvoices[[#This Row],[Due Date]],0)</f>
        <v>0</v>
      </c>
    </row>
    <row r="32" spans="2:16" ht="14.4" x14ac:dyDescent="0.3">
      <c r="B32" s="23" t="s">
        <v>303</v>
      </c>
      <c r="C32" s="23" t="s">
        <v>304</v>
      </c>
      <c r="D32" s="23" t="s">
        <v>246</v>
      </c>
      <c r="E32" s="22">
        <v>46046</v>
      </c>
      <c r="F32" s="22">
        <v>46076</v>
      </c>
      <c r="G32" s="24">
        <v>900</v>
      </c>
      <c r="H32" s="25" t="s">
        <v>102</v>
      </c>
      <c r="I32" s="22">
        <v>46082</v>
      </c>
      <c r="J32" s="23" t="s">
        <v>305</v>
      </c>
      <c r="K32" s="27">
        <f>IF(AND(tblInvoices[[#This Row],[Status]]="Pending",tblInvoices[[#This Row],[Due Date]]&lt;AsOfDate),AsOfDate-tblInvoices[[#This Row],[Due Date]],0)</f>
        <v>0</v>
      </c>
    </row>
    <row r="33" spans="2:11" ht="14.4" x14ac:dyDescent="0.3">
      <c r="B33" s="23" t="s">
        <v>306</v>
      </c>
      <c r="C33" s="23" t="s">
        <v>307</v>
      </c>
      <c r="D33" s="23" t="s">
        <v>242</v>
      </c>
      <c r="E33" s="22">
        <v>46054</v>
      </c>
      <c r="F33" s="22">
        <v>46068</v>
      </c>
      <c r="G33" s="24">
        <v>960</v>
      </c>
      <c r="H33" s="25" t="s">
        <v>102</v>
      </c>
      <c r="I33" s="22">
        <v>46068</v>
      </c>
      <c r="J33" s="23" t="s">
        <v>308</v>
      </c>
      <c r="K33" s="27">
        <f>IF(AND(tblInvoices[[#This Row],[Status]]="Pending",tblInvoices[[#This Row],[Due Date]]&lt;AsOfDate),AsOfDate-tblInvoices[[#This Row],[Due Date]],0)</f>
        <v>0</v>
      </c>
    </row>
    <row r="34" spans="2:11" ht="14.4" x14ac:dyDescent="0.3">
      <c r="B34" s="23" t="s">
        <v>309</v>
      </c>
      <c r="C34" s="23" t="s">
        <v>267</v>
      </c>
      <c r="D34" s="23" t="s">
        <v>246</v>
      </c>
      <c r="E34" s="22">
        <v>46054</v>
      </c>
      <c r="F34" s="22">
        <v>46084</v>
      </c>
      <c r="G34" s="24">
        <v>900</v>
      </c>
      <c r="H34" s="25" t="s">
        <v>102</v>
      </c>
      <c r="I34" s="22">
        <v>46061</v>
      </c>
      <c r="J34" s="23" t="s">
        <v>310</v>
      </c>
      <c r="K34" s="27">
        <f>IF(AND(tblInvoices[[#This Row],[Status]]="Pending",tblInvoices[[#This Row],[Due Date]]&lt;AsOfDate),AsOfDate-tblInvoices[[#This Row],[Due Date]],0)</f>
        <v>0</v>
      </c>
    </row>
    <row r="35" spans="2:11" ht="14.4" x14ac:dyDescent="0.3">
      <c r="B35" s="23" t="s">
        <v>311</v>
      </c>
      <c r="C35" s="23" t="s">
        <v>304</v>
      </c>
      <c r="D35" s="23" t="s">
        <v>233</v>
      </c>
      <c r="E35" s="22">
        <v>46063</v>
      </c>
      <c r="F35" s="22">
        <v>46108</v>
      </c>
      <c r="G35" s="24">
        <v>600</v>
      </c>
      <c r="H35" s="25" t="s">
        <v>102</v>
      </c>
      <c r="I35" s="22">
        <v>46076</v>
      </c>
      <c r="J35" s="23" t="s">
        <v>312</v>
      </c>
      <c r="K35" s="27">
        <f>IF(AND(tblInvoices[[#This Row],[Status]]="Pending",tblInvoices[[#This Row],[Due Date]]&lt;AsOfDate),AsOfDate-tblInvoices[[#This Row],[Due Date]],0)</f>
        <v>0</v>
      </c>
    </row>
    <row r="36" spans="2:11" ht="14.4" x14ac:dyDescent="0.3">
      <c r="B36" s="23" t="s">
        <v>313</v>
      </c>
      <c r="C36" s="23" t="s">
        <v>277</v>
      </c>
      <c r="D36" s="23" t="s">
        <v>255</v>
      </c>
      <c r="E36" s="22">
        <v>46064</v>
      </c>
      <c r="F36" s="22">
        <v>46094</v>
      </c>
      <c r="G36" s="24">
        <v>1080</v>
      </c>
      <c r="H36" s="25" t="s">
        <v>102</v>
      </c>
      <c r="I36" s="22">
        <v>46092</v>
      </c>
      <c r="J36" s="23" t="s">
        <v>314</v>
      </c>
      <c r="K36" s="27">
        <f>IF(AND(tblInvoices[[#This Row],[Status]]="Pending",tblInvoices[[#This Row],[Due Date]]&lt;AsOfDate),AsOfDate-tblInvoices[[#This Row],[Due Date]],0)</f>
        <v>0</v>
      </c>
    </row>
    <row r="37" spans="2:11" ht="14.4" x14ac:dyDescent="0.3">
      <c r="B37" s="23" t="s">
        <v>315</v>
      </c>
      <c r="C37" s="23" t="s">
        <v>316</v>
      </c>
      <c r="D37" s="23" t="s">
        <v>282</v>
      </c>
      <c r="E37" s="22">
        <v>46069</v>
      </c>
      <c r="F37" s="22">
        <v>46083</v>
      </c>
      <c r="G37" s="24">
        <v>1300</v>
      </c>
      <c r="H37" s="25" t="s">
        <v>102</v>
      </c>
      <c r="I37" s="22">
        <v>46075</v>
      </c>
      <c r="J37" s="23" t="s">
        <v>317</v>
      </c>
      <c r="K37" s="27">
        <f>IF(AND(tblInvoices[[#This Row],[Status]]="Pending",tblInvoices[[#This Row],[Due Date]]&lt;AsOfDate),AsOfDate-tblInvoices[[#This Row],[Due Date]],0)</f>
        <v>0</v>
      </c>
    </row>
    <row r="38" spans="2:11" ht="14.4" x14ac:dyDescent="0.3">
      <c r="B38" s="23" t="s">
        <v>318</v>
      </c>
      <c r="C38" s="23" t="s">
        <v>304</v>
      </c>
      <c r="D38" s="23" t="s">
        <v>233</v>
      </c>
      <c r="E38" s="22">
        <v>46074</v>
      </c>
      <c r="F38" s="22">
        <v>46104</v>
      </c>
      <c r="G38" s="24">
        <v>600</v>
      </c>
      <c r="H38" s="25" t="s">
        <v>102</v>
      </c>
      <c r="I38" s="22">
        <v>46102</v>
      </c>
      <c r="J38" s="23" t="s">
        <v>319</v>
      </c>
      <c r="K38" s="27">
        <f>IF(AND(tblInvoices[[#This Row],[Status]]="Pending",tblInvoices[[#This Row],[Due Date]]&lt;AsOfDate),AsOfDate-tblInvoices[[#This Row],[Due Date]],0)</f>
        <v>0</v>
      </c>
    </row>
    <row r="39" spans="2:11" ht="14.4" x14ac:dyDescent="0.3">
      <c r="B39" s="23" t="s">
        <v>320</v>
      </c>
      <c r="C39" s="23" t="s">
        <v>227</v>
      </c>
      <c r="D39" s="23" t="s">
        <v>238</v>
      </c>
      <c r="E39" s="22">
        <v>46080</v>
      </c>
      <c r="F39" s="22">
        <v>46094</v>
      </c>
      <c r="G39" s="24">
        <v>720</v>
      </c>
      <c r="H39" s="25" t="s">
        <v>102</v>
      </c>
      <c r="I39" s="22">
        <v>46090</v>
      </c>
      <c r="J39" s="23" t="s">
        <v>321</v>
      </c>
      <c r="K39" s="27">
        <f>IF(AND(tblInvoices[[#This Row],[Status]]="Pending",tblInvoices[[#This Row],[Due Date]]&lt;AsOfDate),AsOfDate-tblInvoices[[#This Row],[Due Date]],0)</f>
        <v>0</v>
      </c>
    </row>
    <row r="40" spans="2:11" ht="14.4" x14ac:dyDescent="0.3">
      <c r="B40" s="23" t="s">
        <v>322</v>
      </c>
      <c r="C40" s="23" t="s">
        <v>300</v>
      </c>
      <c r="D40" s="23" t="s">
        <v>263</v>
      </c>
      <c r="E40" s="22">
        <v>46084</v>
      </c>
      <c r="F40" s="22">
        <v>46114</v>
      </c>
      <c r="G40" s="24">
        <v>1950</v>
      </c>
      <c r="H40" s="25" t="s">
        <v>102</v>
      </c>
      <c r="I40" s="22">
        <v>46090</v>
      </c>
      <c r="J40" s="23" t="s">
        <v>323</v>
      </c>
      <c r="K40" s="27">
        <f>IF(AND(tblInvoices[[#This Row],[Status]]="Pending",tblInvoices[[#This Row],[Due Date]]&lt;AsOfDate),AsOfDate-tblInvoices[[#This Row],[Due Date]],0)</f>
        <v>0</v>
      </c>
    </row>
    <row r="41" spans="2:11" ht="14.4" x14ac:dyDescent="0.3">
      <c r="B41" s="23" t="s">
        <v>324</v>
      </c>
      <c r="C41" s="23" t="s">
        <v>294</v>
      </c>
      <c r="D41" s="23" t="s">
        <v>325</v>
      </c>
      <c r="E41" s="22">
        <v>46087</v>
      </c>
      <c r="F41" s="22">
        <v>46117</v>
      </c>
      <c r="G41" s="24">
        <v>650</v>
      </c>
      <c r="H41" s="25" t="s">
        <v>102</v>
      </c>
      <c r="I41" s="22">
        <v>46100</v>
      </c>
      <c r="J41" s="23" t="s">
        <v>326</v>
      </c>
      <c r="K41" s="27">
        <f>IF(AND(tblInvoices[[#This Row],[Status]]="Pending",tblInvoices[[#This Row],[Due Date]]&lt;AsOfDate),AsOfDate-tblInvoices[[#This Row],[Due Date]],0)</f>
        <v>0</v>
      </c>
    </row>
    <row r="42" spans="2:11" ht="14.4" x14ac:dyDescent="0.3">
      <c r="B42" s="23" t="s">
        <v>327</v>
      </c>
      <c r="C42" s="23" t="s">
        <v>294</v>
      </c>
      <c r="D42" s="23" t="s">
        <v>228</v>
      </c>
      <c r="E42" s="22">
        <v>46087</v>
      </c>
      <c r="F42" s="22">
        <v>46132</v>
      </c>
      <c r="G42" s="24">
        <v>700</v>
      </c>
      <c r="H42" s="25" t="s">
        <v>102</v>
      </c>
      <c r="I42" s="22">
        <v>46107</v>
      </c>
      <c r="J42" s="23" t="s">
        <v>328</v>
      </c>
      <c r="K42" s="27">
        <f>IF(AND(tblInvoices[[#This Row],[Status]]="Pending",tblInvoices[[#This Row],[Due Date]]&lt;AsOfDate),AsOfDate-tblInvoices[[#This Row],[Due Date]],0)</f>
        <v>0</v>
      </c>
    </row>
    <row r="43" spans="2:11" ht="14.4" x14ac:dyDescent="0.3">
      <c r="B43" s="23" t="s">
        <v>329</v>
      </c>
      <c r="C43" s="23" t="s">
        <v>245</v>
      </c>
      <c r="D43" s="23" t="s">
        <v>242</v>
      </c>
      <c r="E43" s="22">
        <v>46091</v>
      </c>
      <c r="F43" s="22">
        <v>46121</v>
      </c>
      <c r="G43" s="24">
        <v>960</v>
      </c>
      <c r="H43" s="25" t="s">
        <v>102</v>
      </c>
      <c r="I43" s="22">
        <v>46099</v>
      </c>
      <c r="J43" s="23" t="s">
        <v>330</v>
      </c>
      <c r="K43" s="27">
        <f>IF(AND(tblInvoices[[#This Row],[Status]]="Pending",tblInvoices[[#This Row],[Due Date]]&lt;AsOfDate),AsOfDate-tblInvoices[[#This Row],[Due Date]],0)</f>
        <v>0</v>
      </c>
    </row>
    <row r="44" spans="2:11" ht="14.4" x14ac:dyDescent="0.3">
      <c r="B44" s="23" t="s">
        <v>331</v>
      </c>
      <c r="C44" s="23" t="s">
        <v>237</v>
      </c>
      <c r="D44" s="23" t="s">
        <v>332</v>
      </c>
      <c r="E44" s="22">
        <v>46095</v>
      </c>
      <c r="F44" s="22">
        <v>46125</v>
      </c>
      <c r="G44" s="24">
        <v>2700</v>
      </c>
      <c r="H44" s="25" t="s">
        <v>102</v>
      </c>
      <c r="I44" s="22">
        <v>46108</v>
      </c>
      <c r="J44" s="23" t="s">
        <v>333</v>
      </c>
      <c r="K44" s="27">
        <f>IF(AND(tblInvoices[[#This Row],[Status]]="Pending",tblInvoices[[#This Row],[Due Date]]&lt;AsOfDate),AsOfDate-tblInvoices[[#This Row],[Due Date]],0)</f>
        <v>0</v>
      </c>
    </row>
    <row r="45" spans="2:11" ht="14.4" x14ac:dyDescent="0.3">
      <c r="B45" s="23" t="s">
        <v>334</v>
      </c>
      <c r="C45" s="23" t="s">
        <v>290</v>
      </c>
      <c r="D45" s="23" t="s">
        <v>335</v>
      </c>
      <c r="E45" s="22">
        <v>46097</v>
      </c>
      <c r="F45" s="22">
        <v>46111</v>
      </c>
      <c r="G45" s="24">
        <v>1050</v>
      </c>
      <c r="H45" s="25" t="s">
        <v>102</v>
      </c>
      <c r="I45" s="22">
        <v>46106</v>
      </c>
      <c r="J45" s="23" t="s">
        <v>336</v>
      </c>
      <c r="K45" s="27">
        <f>IF(AND(tblInvoices[[#This Row],[Status]]="Pending",tblInvoices[[#This Row],[Due Date]]&lt;AsOfDate),AsOfDate-tblInvoices[[#This Row],[Due Date]],0)</f>
        <v>0</v>
      </c>
    </row>
    <row r="46" spans="2:11" ht="14.4" x14ac:dyDescent="0.3">
      <c r="B46" s="23" t="s">
        <v>337</v>
      </c>
      <c r="C46" s="23" t="s">
        <v>338</v>
      </c>
      <c r="D46" s="23" t="s">
        <v>332</v>
      </c>
      <c r="E46" s="22">
        <v>46106</v>
      </c>
      <c r="F46" s="22">
        <v>46151</v>
      </c>
      <c r="G46" s="24">
        <v>2700</v>
      </c>
      <c r="H46" s="25" t="s">
        <v>102</v>
      </c>
      <c r="I46" s="22">
        <v>46116</v>
      </c>
      <c r="J46" s="23" t="s">
        <v>339</v>
      </c>
      <c r="K46" s="27">
        <f>IF(AND(tblInvoices[[#This Row],[Status]]="Pending",tblInvoices[[#This Row],[Due Date]]&lt;AsOfDate),AsOfDate-tblInvoices[[#This Row],[Due Date]],0)</f>
        <v>0</v>
      </c>
    </row>
    <row r="47" spans="2:11" ht="14.4" x14ac:dyDescent="0.3">
      <c r="B47" s="23" t="s">
        <v>340</v>
      </c>
      <c r="C47" s="23" t="s">
        <v>277</v>
      </c>
      <c r="D47" s="23" t="s">
        <v>271</v>
      </c>
      <c r="E47" s="22">
        <v>46118</v>
      </c>
      <c r="F47" s="22">
        <v>46148</v>
      </c>
      <c r="G47" s="24">
        <v>720</v>
      </c>
      <c r="H47" s="25" t="s">
        <v>102</v>
      </c>
      <c r="I47" s="22">
        <v>46123</v>
      </c>
      <c r="J47" s="23" t="s">
        <v>341</v>
      </c>
      <c r="K47" s="27">
        <f>IF(AND(tblInvoices[[#This Row],[Status]]="Pending",tblInvoices[[#This Row],[Due Date]]&lt;AsOfDate),AsOfDate-tblInvoices[[#This Row],[Due Date]],0)</f>
        <v>0</v>
      </c>
    </row>
    <row r="48" spans="2:11" ht="14.4" x14ac:dyDescent="0.3">
      <c r="B48" s="23" t="s">
        <v>342</v>
      </c>
      <c r="C48" s="23" t="s">
        <v>307</v>
      </c>
      <c r="D48" s="23" t="s">
        <v>335</v>
      </c>
      <c r="E48" s="22">
        <v>46133</v>
      </c>
      <c r="F48" s="22">
        <v>46163</v>
      </c>
      <c r="G48" s="24">
        <v>1050</v>
      </c>
      <c r="H48" s="25" t="s">
        <v>102</v>
      </c>
      <c r="I48" s="22">
        <v>46165</v>
      </c>
      <c r="J48" s="23" t="s">
        <v>343</v>
      </c>
      <c r="K48" s="27">
        <f>IF(AND(tblInvoices[[#This Row],[Status]]="Pending",tblInvoices[[#This Row],[Due Date]]&lt;AsOfDate),AsOfDate-tblInvoices[[#This Row],[Due Date]],0)</f>
        <v>0</v>
      </c>
    </row>
    <row r="49" spans="2:11" ht="14.4" x14ac:dyDescent="0.3">
      <c r="B49" s="23" t="s">
        <v>344</v>
      </c>
      <c r="C49" s="23" t="s">
        <v>345</v>
      </c>
      <c r="D49" s="23" t="s">
        <v>346</v>
      </c>
      <c r="E49" s="22">
        <v>46133</v>
      </c>
      <c r="F49" s="22">
        <v>46178</v>
      </c>
      <c r="G49" s="24">
        <v>1320</v>
      </c>
      <c r="H49" s="25" t="s">
        <v>102</v>
      </c>
      <c r="I49" s="22">
        <v>46176</v>
      </c>
      <c r="J49" s="23" t="s">
        <v>347</v>
      </c>
      <c r="K49" s="27">
        <f>IF(AND(tblInvoices[[#This Row],[Status]]="Pending",tblInvoices[[#This Row],[Due Date]]&lt;AsOfDate),AsOfDate-tblInvoices[[#This Row],[Due Date]],0)</f>
        <v>0</v>
      </c>
    </row>
    <row r="50" spans="2:11" ht="14.4" x14ac:dyDescent="0.3">
      <c r="B50" s="23" t="s">
        <v>348</v>
      </c>
      <c r="C50" s="23" t="s">
        <v>316</v>
      </c>
      <c r="D50" s="23" t="s">
        <v>271</v>
      </c>
      <c r="E50" s="22">
        <v>46134</v>
      </c>
      <c r="F50" s="22">
        <v>46148</v>
      </c>
      <c r="G50" s="24">
        <v>720</v>
      </c>
      <c r="H50" s="25" t="s">
        <v>102</v>
      </c>
      <c r="I50" s="22">
        <v>46143</v>
      </c>
      <c r="J50" s="23" t="s">
        <v>349</v>
      </c>
      <c r="K50" s="27">
        <f>IF(AND(tblInvoices[[#This Row],[Status]]="Pending",tblInvoices[[#This Row],[Due Date]]&lt;AsOfDate),AsOfDate-tblInvoices[[#This Row],[Due Date]],0)</f>
        <v>0</v>
      </c>
    </row>
    <row r="51" spans="2:11" ht="14.4" x14ac:dyDescent="0.3">
      <c r="B51" s="23" t="s">
        <v>350</v>
      </c>
      <c r="C51" s="23" t="s">
        <v>219</v>
      </c>
      <c r="D51" s="23" t="s">
        <v>238</v>
      </c>
      <c r="E51" s="22">
        <v>46143</v>
      </c>
      <c r="F51" s="22">
        <v>46173</v>
      </c>
      <c r="G51" s="24">
        <v>720</v>
      </c>
      <c r="H51" s="25" t="s">
        <v>102</v>
      </c>
      <c r="I51" s="22">
        <v>46149</v>
      </c>
      <c r="J51" s="23" t="s">
        <v>351</v>
      </c>
      <c r="K51" s="27">
        <f>IF(AND(tblInvoices[[#This Row],[Status]]="Pending",tblInvoices[[#This Row],[Due Date]]&lt;AsOfDate),AsOfDate-tblInvoices[[#This Row],[Due Date]],0)</f>
        <v>0</v>
      </c>
    </row>
    <row r="52" spans="2:11" ht="14.4" x14ac:dyDescent="0.3">
      <c r="B52" s="23" t="s">
        <v>352</v>
      </c>
      <c r="C52" s="23" t="s">
        <v>353</v>
      </c>
      <c r="D52" s="23" t="s">
        <v>354</v>
      </c>
      <c r="E52" s="22">
        <v>46154</v>
      </c>
      <c r="F52" s="22">
        <v>46184</v>
      </c>
      <c r="G52" s="24">
        <v>1440</v>
      </c>
      <c r="H52" s="25" t="s">
        <v>103</v>
      </c>
      <c r="I52" s="22"/>
      <c r="J52" s="23" t="s">
        <v>355</v>
      </c>
      <c r="K52" s="27">
        <f>IF(AND(tblInvoices[[#This Row],[Status]]="Pending",tblInvoices[[#This Row],[Due Date]]&lt;AsOfDate),AsOfDate-tblInvoices[[#This Row],[Due Date]],0)</f>
        <v>111</v>
      </c>
    </row>
    <row r="53" spans="2:11" ht="14.4" x14ac:dyDescent="0.3">
      <c r="B53" s="23" t="s">
        <v>356</v>
      </c>
      <c r="C53" s="23" t="s">
        <v>297</v>
      </c>
      <c r="D53" s="23" t="s">
        <v>332</v>
      </c>
      <c r="E53" s="22">
        <v>46166</v>
      </c>
      <c r="F53" s="22">
        <v>46180</v>
      </c>
      <c r="G53" s="24">
        <v>2700</v>
      </c>
      <c r="H53" s="25" t="s">
        <v>103</v>
      </c>
      <c r="I53" s="22"/>
      <c r="J53" s="23" t="s">
        <v>357</v>
      </c>
      <c r="K53" s="27">
        <f>IF(AND(tblInvoices[[#This Row],[Status]]="Pending",tblInvoices[[#This Row],[Due Date]]&lt;AsOfDate),AsOfDate-tblInvoices[[#This Row],[Due Date]],0)</f>
        <v>115</v>
      </c>
    </row>
    <row r="54" spans="2:11" ht="14.4" x14ac:dyDescent="0.3">
      <c r="B54" s="23" t="s">
        <v>358</v>
      </c>
      <c r="C54" s="23" t="s">
        <v>359</v>
      </c>
      <c r="D54" s="23" t="s">
        <v>291</v>
      </c>
      <c r="E54" s="22">
        <v>46169</v>
      </c>
      <c r="F54" s="22">
        <v>46199</v>
      </c>
      <c r="G54" s="24">
        <v>1440</v>
      </c>
      <c r="H54" s="25" t="s">
        <v>103</v>
      </c>
      <c r="I54" s="22"/>
      <c r="J54" s="23" t="s">
        <v>360</v>
      </c>
      <c r="K54" s="27">
        <f>IF(AND(tblInvoices[[#This Row],[Status]]="Pending",tblInvoices[[#This Row],[Due Date]]&lt;AsOfDate),AsOfDate-tblInvoices[[#This Row],[Due Date]],0)</f>
        <v>96</v>
      </c>
    </row>
    <row r="55" spans="2:11" ht="14.4" x14ac:dyDescent="0.3">
      <c r="B55" s="23" t="s">
        <v>361</v>
      </c>
      <c r="C55" s="23" t="s">
        <v>294</v>
      </c>
      <c r="D55" s="23" t="s">
        <v>228</v>
      </c>
      <c r="E55" s="22">
        <v>46175</v>
      </c>
      <c r="F55" s="22">
        <v>46189</v>
      </c>
      <c r="G55" s="24">
        <v>700</v>
      </c>
      <c r="H55" s="25" t="s">
        <v>102</v>
      </c>
      <c r="I55" s="22">
        <v>46186</v>
      </c>
      <c r="J55" s="23" t="s">
        <v>362</v>
      </c>
      <c r="K55" s="27">
        <f>IF(AND(tblInvoices[[#This Row],[Status]]="Pending",tblInvoices[[#This Row],[Due Date]]&lt;AsOfDate),AsOfDate-tblInvoices[[#This Row],[Due Date]],0)</f>
        <v>0</v>
      </c>
    </row>
    <row r="56" spans="2:11" ht="14.4" x14ac:dyDescent="0.3">
      <c r="B56" s="23" t="s">
        <v>363</v>
      </c>
      <c r="C56" s="23" t="s">
        <v>345</v>
      </c>
      <c r="D56" s="23" t="s">
        <v>332</v>
      </c>
      <c r="E56" s="22">
        <v>46176</v>
      </c>
      <c r="F56" s="22">
        <v>46206</v>
      </c>
      <c r="G56" s="24">
        <v>2700</v>
      </c>
      <c r="H56" s="25" t="s">
        <v>102</v>
      </c>
      <c r="I56" s="22">
        <v>46179</v>
      </c>
      <c r="J56" s="23" t="s">
        <v>364</v>
      </c>
      <c r="K56" s="27">
        <f>IF(AND(tblInvoices[[#This Row],[Status]]="Pending",tblInvoices[[#This Row],[Due Date]]&lt;AsOfDate),AsOfDate-tblInvoices[[#This Row],[Due Date]],0)</f>
        <v>0</v>
      </c>
    </row>
    <row r="57" spans="2:11" ht="14.4" x14ac:dyDescent="0.3">
      <c r="B57" s="23" t="s">
        <v>365</v>
      </c>
      <c r="C57" s="23" t="s">
        <v>316</v>
      </c>
      <c r="D57" s="23" t="s">
        <v>291</v>
      </c>
      <c r="E57" s="22">
        <v>46182</v>
      </c>
      <c r="F57" s="22">
        <v>46212</v>
      </c>
      <c r="G57" s="24">
        <v>1440</v>
      </c>
      <c r="H57" s="25" t="s">
        <v>103</v>
      </c>
      <c r="I57" s="22"/>
      <c r="J57" s="23" t="s">
        <v>366</v>
      </c>
      <c r="K57" s="27">
        <f>IF(AND(tblInvoices[[#This Row],[Status]]="Pending",tblInvoices[[#This Row],[Due Date]]&lt;AsOfDate),AsOfDate-tblInvoices[[#This Row],[Due Date]],0)</f>
        <v>83</v>
      </c>
    </row>
    <row r="58" spans="2:11" ht="14.4" x14ac:dyDescent="0.3">
      <c r="B58" s="23" t="s">
        <v>367</v>
      </c>
      <c r="C58" s="23" t="s">
        <v>294</v>
      </c>
      <c r="D58" s="23" t="s">
        <v>291</v>
      </c>
      <c r="E58" s="22">
        <v>46182</v>
      </c>
      <c r="F58" s="22">
        <v>46227</v>
      </c>
      <c r="G58" s="24">
        <v>1440</v>
      </c>
      <c r="H58" s="25" t="s">
        <v>102</v>
      </c>
      <c r="I58" s="22">
        <v>46226</v>
      </c>
      <c r="J58" s="23" t="s">
        <v>368</v>
      </c>
      <c r="K58" s="27">
        <f>IF(AND(tblInvoices[[#This Row],[Status]]="Pending",tblInvoices[[#This Row],[Due Date]]&lt;AsOfDate),AsOfDate-tblInvoices[[#This Row],[Due Date]],0)</f>
        <v>0</v>
      </c>
    </row>
    <row r="59" spans="2:11" ht="14.4" x14ac:dyDescent="0.3">
      <c r="B59" s="23" t="s">
        <v>369</v>
      </c>
      <c r="C59" s="23" t="s">
        <v>227</v>
      </c>
      <c r="D59" s="23" t="s">
        <v>370</v>
      </c>
      <c r="E59" s="22">
        <v>46184</v>
      </c>
      <c r="F59" s="22">
        <v>46198</v>
      </c>
      <c r="G59" s="24">
        <v>840</v>
      </c>
      <c r="H59" s="25" t="s">
        <v>102</v>
      </c>
      <c r="I59" s="22">
        <v>46202</v>
      </c>
      <c r="J59" s="23" t="s">
        <v>371</v>
      </c>
      <c r="K59" s="27">
        <f>IF(AND(tblInvoices[[#This Row],[Status]]="Pending",tblInvoices[[#This Row],[Due Date]]&lt;AsOfDate),AsOfDate-tblInvoices[[#This Row],[Due Date]],0)</f>
        <v>0</v>
      </c>
    </row>
    <row r="60" spans="2:11" ht="14.4" x14ac:dyDescent="0.3">
      <c r="B60" s="23" t="s">
        <v>372</v>
      </c>
      <c r="C60" s="23" t="s">
        <v>232</v>
      </c>
      <c r="D60" s="23" t="s">
        <v>301</v>
      </c>
      <c r="E60" s="22">
        <v>46187</v>
      </c>
      <c r="F60" s="22">
        <v>46217</v>
      </c>
      <c r="G60" s="24">
        <v>1800</v>
      </c>
      <c r="H60" s="25" t="s">
        <v>103</v>
      </c>
      <c r="I60" s="22"/>
      <c r="J60" s="23" t="s">
        <v>373</v>
      </c>
      <c r="K60" s="27">
        <f>IF(AND(tblInvoices[[#This Row],[Status]]="Pending",tblInvoices[[#This Row],[Due Date]]&lt;AsOfDate),AsOfDate-tblInvoices[[#This Row],[Due Date]],0)</f>
        <v>78</v>
      </c>
    </row>
    <row r="61" spans="2:11" ht="14.4" x14ac:dyDescent="0.3">
      <c r="B61" s="23" t="s">
        <v>374</v>
      </c>
      <c r="C61" s="23" t="s">
        <v>307</v>
      </c>
      <c r="D61" s="23" t="s">
        <v>271</v>
      </c>
      <c r="E61" s="22">
        <v>46189</v>
      </c>
      <c r="F61" s="22">
        <v>46203</v>
      </c>
      <c r="G61" s="24">
        <v>720</v>
      </c>
      <c r="H61" s="25" t="s">
        <v>102</v>
      </c>
      <c r="I61" s="22">
        <v>46209</v>
      </c>
      <c r="J61" s="23" t="s">
        <v>375</v>
      </c>
      <c r="K61" s="27">
        <f>IF(AND(tblInvoices[[#This Row],[Status]]="Pending",tblInvoices[[#This Row],[Due Date]]&lt;AsOfDate),AsOfDate-tblInvoices[[#This Row],[Due Date]],0)</f>
        <v>0</v>
      </c>
    </row>
    <row r="62" spans="2:11" ht="14.4" x14ac:dyDescent="0.3">
      <c r="B62" s="23" t="s">
        <v>376</v>
      </c>
      <c r="C62" s="23" t="s">
        <v>237</v>
      </c>
      <c r="D62" s="23" t="s">
        <v>224</v>
      </c>
      <c r="E62" s="22">
        <v>46191</v>
      </c>
      <c r="F62" s="22">
        <v>46221</v>
      </c>
      <c r="G62" s="24">
        <v>2600</v>
      </c>
      <c r="H62" s="25" t="s">
        <v>102</v>
      </c>
      <c r="I62" s="22">
        <v>46227</v>
      </c>
      <c r="J62" s="23" t="s">
        <v>377</v>
      </c>
      <c r="K62" s="27">
        <f>IF(AND(tblInvoices[[#This Row],[Status]]="Pending",tblInvoices[[#This Row],[Due Date]]&lt;AsOfDate),AsOfDate-tblInvoices[[#This Row],[Due Date]],0)</f>
        <v>0</v>
      </c>
    </row>
    <row r="63" spans="2:11" ht="14.4" x14ac:dyDescent="0.3">
      <c r="B63" s="23" t="s">
        <v>378</v>
      </c>
      <c r="C63" s="23" t="s">
        <v>290</v>
      </c>
      <c r="D63" s="23" t="s">
        <v>335</v>
      </c>
      <c r="E63" s="22">
        <v>46191</v>
      </c>
      <c r="F63" s="22">
        <v>46236</v>
      </c>
      <c r="G63" s="24">
        <v>1050</v>
      </c>
      <c r="H63" s="25" t="s">
        <v>102</v>
      </c>
      <c r="I63" s="22">
        <v>46228</v>
      </c>
      <c r="J63" s="23" t="s">
        <v>379</v>
      </c>
      <c r="K63" s="27">
        <f>IF(AND(tblInvoices[[#This Row],[Status]]="Pending",tblInvoices[[#This Row],[Due Date]]&lt;AsOfDate),AsOfDate-tblInvoices[[#This Row],[Due Date]],0)</f>
        <v>0</v>
      </c>
    </row>
    <row r="64" spans="2:11" ht="14.4" x14ac:dyDescent="0.3">
      <c r="B64" s="23" t="s">
        <v>380</v>
      </c>
      <c r="C64" s="23" t="s">
        <v>345</v>
      </c>
      <c r="D64" s="23" t="s">
        <v>224</v>
      </c>
      <c r="E64" s="22">
        <v>46194</v>
      </c>
      <c r="F64" s="22">
        <v>46224</v>
      </c>
      <c r="G64" s="24">
        <v>2600</v>
      </c>
      <c r="H64" s="25" t="s">
        <v>102</v>
      </c>
      <c r="I64" s="22">
        <v>46228</v>
      </c>
      <c r="J64" s="23" t="s">
        <v>381</v>
      </c>
      <c r="K64" s="27">
        <f>IF(AND(tblInvoices[[#This Row],[Status]]="Pending",tblInvoices[[#This Row],[Due Date]]&lt;AsOfDate),AsOfDate-tblInvoices[[#This Row],[Due Date]],0)</f>
        <v>0</v>
      </c>
    </row>
    <row r="65" spans="2:11" ht="14.4" x14ac:dyDescent="0.3">
      <c r="B65" s="23" t="s">
        <v>382</v>
      </c>
      <c r="C65" s="23" t="s">
        <v>245</v>
      </c>
      <c r="D65" s="23" t="s">
        <v>220</v>
      </c>
      <c r="E65" s="22">
        <v>46194</v>
      </c>
      <c r="F65" s="22">
        <v>46208</v>
      </c>
      <c r="G65" s="24">
        <v>1200</v>
      </c>
      <c r="H65" s="25" t="s">
        <v>102</v>
      </c>
      <c r="I65" s="22">
        <v>46214</v>
      </c>
      <c r="J65" s="23" t="s">
        <v>383</v>
      </c>
      <c r="K65" s="27">
        <f>IF(AND(tblInvoices[[#This Row],[Status]]="Pending",tblInvoices[[#This Row],[Due Date]]&lt;AsOfDate),AsOfDate-tblInvoices[[#This Row],[Due Date]],0)</f>
        <v>0</v>
      </c>
    </row>
    <row r="66" spans="2:11" ht="14.4" x14ac:dyDescent="0.3">
      <c r="B66" s="23" t="s">
        <v>384</v>
      </c>
      <c r="C66" s="23" t="s">
        <v>359</v>
      </c>
      <c r="D66" s="23" t="s">
        <v>325</v>
      </c>
      <c r="E66" s="22">
        <v>46200</v>
      </c>
      <c r="F66" s="22">
        <v>46230</v>
      </c>
      <c r="G66" s="24">
        <v>650</v>
      </c>
      <c r="H66" s="25" t="s">
        <v>102</v>
      </c>
      <c r="I66" s="22">
        <v>46217</v>
      </c>
      <c r="J66" s="23" t="s">
        <v>385</v>
      </c>
      <c r="K66" s="27">
        <f>IF(AND(tblInvoices[[#This Row],[Status]]="Pending",tblInvoices[[#This Row],[Due Date]]&lt;AsOfDate),AsOfDate-tblInvoices[[#This Row],[Due Date]],0)</f>
        <v>0</v>
      </c>
    </row>
    <row r="67" spans="2:11" ht="14.4" x14ac:dyDescent="0.3">
      <c r="B67" s="23" t="s">
        <v>386</v>
      </c>
      <c r="C67" s="23" t="s">
        <v>227</v>
      </c>
      <c r="D67" s="23" t="s">
        <v>332</v>
      </c>
      <c r="E67" s="22">
        <v>46207</v>
      </c>
      <c r="F67" s="22">
        <v>46252</v>
      </c>
      <c r="G67" s="24">
        <v>2700</v>
      </c>
      <c r="H67" s="25" t="s">
        <v>102</v>
      </c>
      <c r="I67" s="22">
        <v>46235</v>
      </c>
      <c r="J67" s="23" t="s">
        <v>387</v>
      </c>
      <c r="K67" s="27">
        <f>IF(AND(tblInvoices[[#This Row],[Status]]="Pending",tblInvoices[[#This Row],[Due Date]]&lt;AsOfDate),AsOfDate-tblInvoices[[#This Row],[Due Date]],0)</f>
        <v>0</v>
      </c>
    </row>
    <row r="68" spans="2:11" ht="14.4" x14ac:dyDescent="0.3">
      <c r="B68" s="23" t="s">
        <v>388</v>
      </c>
      <c r="C68" s="23" t="s">
        <v>345</v>
      </c>
      <c r="D68" s="23" t="s">
        <v>259</v>
      </c>
      <c r="E68" s="22">
        <v>46208</v>
      </c>
      <c r="F68" s="22">
        <v>46238</v>
      </c>
      <c r="G68" s="24">
        <v>1200</v>
      </c>
      <c r="H68" s="25" t="s">
        <v>102</v>
      </c>
      <c r="I68" s="22">
        <v>46216</v>
      </c>
      <c r="J68" s="23" t="s">
        <v>389</v>
      </c>
      <c r="K68" s="27">
        <f>IF(AND(tblInvoices[[#This Row],[Status]]="Pending",tblInvoices[[#This Row],[Due Date]]&lt;AsOfDate),AsOfDate-tblInvoices[[#This Row],[Due Date]],0)</f>
        <v>0</v>
      </c>
    </row>
    <row r="69" spans="2:11" ht="14.4" x14ac:dyDescent="0.3">
      <c r="B69" s="23" t="s">
        <v>390</v>
      </c>
      <c r="C69" s="23" t="s">
        <v>338</v>
      </c>
      <c r="D69" s="23" t="s">
        <v>291</v>
      </c>
      <c r="E69" s="22">
        <v>46222</v>
      </c>
      <c r="F69" s="22">
        <v>46252</v>
      </c>
      <c r="G69" s="24">
        <v>1440</v>
      </c>
      <c r="H69" s="25" t="s">
        <v>103</v>
      </c>
      <c r="I69" s="22"/>
      <c r="J69" s="23" t="s">
        <v>391</v>
      </c>
      <c r="K69" s="27">
        <f>IF(AND(tblInvoices[[#This Row],[Status]]="Pending",tblInvoices[[#This Row],[Due Date]]&lt;AsOfDate),AsOfDate-tblInvoices[[#This Row],[Due Date]],0)</f>
        <v>43</v>
      </c>
    </row>
    <row r="70" spans="2:11" ht="14.4" x14ac:dyDescent="0.3">
      <c r="B70" s="23" t="s">
        <v>392</v>
      </c>
      <c r="C70" s="23" t="s">
        <v>245</v>
      </c>
      <c r="D70" s="23" t="s">
        <v>291</v>
      </c>
      <c r="E70" s="22">
        <v>46226</v>
      </c>
      <c r="F70" s="22">
        <v>46240</v>
      </c>
      <c r="G70" s="24">
        <v>1440</v>
      </c>
      <c r="H70" s="25" t="s">
        <v>102</v>
      </c>
      <c r="I70" s="22">
        <v>46229</v>
      </c>
      <c r="J70" s="23" t="s">
        <v>393</v>
      </c>
      <c r="K70" s="27">
        <f>IF(AND(tblInvoices[[#This Row],[Status]]="Pending",tblInvoices[[#This Row],[Due Date]]&lt;AsOfDate),AsOfDate-tblInvoices[[#This Row],[Due Date]],0)</f>
        <v>0</v>
      </c>
    </row>
    <row r="71" spans="2:11" ht="14.4" x14ac:dyDescent="0.3">
      <c r="B71" s="23" t="s">
        <v>394</v>
      </c>
      <c r="C71" s="23" t="s">
        <v>241</v>
      </c>
      <c r="D71" s="23" t="s">
        <v>271</v>
      </c>
      <c r="E71" s="22">
        <v>46226</v>
      </c>
      <c r="F71" s="22">
        <v>46256</v>
      </c>
      <c r="G71" s="24">
        <v>720</v>
      </c>
      <c r="H71" s="25" t="s">
        <v>102</v>
      </c>
      <c r="I71" s="22">
        <v>46253</v>
      </c>
      <c r="J71" s="23" t="s">
        <v>395</v>
      </c>
      <c r="K71" s="27">
        <f>IF(AND(tblInvoices[[#This Row],[Status]]="Pending",tblInvoices[[#This Row],[Due Date]]&lt;AsOfDate),AsOfDate-tblInvoices[[#This Row],[Due Date]],0)</f>
        <v>0</v>
      </c>
    </row>
    <row r="72" spans="2:11" ht="14.4" x14ac:dyDescent="0.3">
      <c r="B72" s="23" t="s">
        <v>396</v>
      </c>
      <c r="C72" s="23" t="s">
        <v>294</v>
      </c>
      <c r="D72" s="23" t="s">
        <v>354</v>
      </c>
      <c r="E72" s="22">
        <v>46231</v>
      </c>
      <c r="F72" s="22">
        <v>46276</v>
      </c>
      <c r="G72" s="24">
        <v>1440</v>
      </c>
      <c r="H72" s="25" t="s">
        <v>102</v>
      </c>
      <c r="I72" s="22">
        <v>46239</v>
      </c>
      <c r="J72" s="23" t="s">
        <v>397</v>
      </c>
      <c r="K72" s="27">
        <f>IF(AND(tblInvoices[[#This Row],[Status]]="Pending",tblInvoices[[#This Row],[Due Date]]&lt;AsOfDate),AsOfDate-tblInvoices[[#This Row],[Due Date]],0)</f>
        <v>0</v>
      </c>
    </row>
    <row r="73" spans="2:11" ht="14.4" x14ac:dyDescent="0.3">
      <c r="B73" s="23" t="s">
        <v>398</v>
      </c>
      <c r="C73" s="23" t="s">
        <v>223</v>
      </c>
      <c r="D73" s="23" t="s">
        <v>354</v>
      </c>
      <c r="E73" s="22">
        <v>46237</v>
      </c>
      <c r="F73" s="22">
        <v>46267</v>
      </c>
      <c r="G73" s="24">
        <v>1440</v>
      </c>
      <c r="H73" s="25" t="s">
        <v>102</v>
      </c>
      <c r="I73" s="22">
        <v>46251</v>
      </c>
      <c r="J73" s="23" t="s">
        <v>399</v>
      </c>
      <c r="K73" s="27">
        <f>IF(AND(tblInvoices[[#This Row],[Status]]="Pending",tblInvoices[[#This Row],[Due Date]]&lt;AsOfDate),AsOfDate-tblInvoices[[#This Row],[Due Date]],0)</f>
        <v>0</v>
      </c>
    </row>
    <row r="74" spans="2:11" ht="14.4" x14ac:dyDescent="0.3">
      <c r="B74" s="23" t="s">
        <v>400</v>
      </c>
      <c r="C74" s="23" t="s">
        <v>219</v>
      </c>
      <c r="D74" s="23" t="s">
        <v>238</v>
      </c>
      <c r="E74" s="22">
        <v>46238</v>
      </c>
      <c r="F74" s="22">
        <v>46268</v>
      </c>
      <c r="G74" s="24">
        <v>720</v>
      </c>
      <c r="H74" s="25" t="s">
        <v>102</v>
      </c>
      <c r="I74" s="22">
        <v>46256</v>
      </c>
      <c r="J74" s="23" t="s">
        <v>401</v>
      </c>
      <c r="K74" s="27">
        <f>IF(AND(tblInvoices[[#This Row],[Status]]="Pending",tblInvoices[[#This Row],[Due Date]]&lt;AsOfDate),AsOfDate-tblInvoices[[#This Row],[Due Date]],0)</f>
        <v>0</v>
      </c>
    </row>
    <row r="75" spans="2:11" ht="14.4" x14ac:dyDescent="0.3">
      <c r="B75" s="23" t="s">
        <v>402</v>
      </c>
      <c r="C75" s="23" t="s">
        <v>219</v>
      </c>
      <c r="D75" s="23" t="s">
        <v>246</v>
      </c>
      <c r="E75" s="22">
        <v>46238</v>
      </c>
      <c r="F75" s="22">
        <v>46268</v>
      </c>
      <c r="G75" s="24">
        <v>900</v>
      </c>
      <c r="H75" s="25" t="s">
        <v>102</v>
      </c>
      <c r="I75" s="22">
        <v>46253</v>
      </c>
      <c r="J75" s="23" t="s">
        <v>403</v>
      </c>
      <c r="K75" s="27">
        <f>IF(AND(tblInvoices[[#This Row],[Status]]="Pending",tblInvoices[[#This Row],[Due Date]]&lt;AsOfDate),AsOfDate-tblInvoices[[#This Row],[Due Date]],0)</f>
        <v>0</v>
      </c>
    </row>
    <row r="76" spans="2:11" ht="14.4" x14ac:dyDescent="0.3">
      <c r="B76" s="23" t="s">
        <v>404</v>
      </c>
      <c r="C76" s="23" t="s">
        <v>237</v>
      </c>
      <c r="D76" s="23" t="s">
        <v>255</v>
      </c>
      <c r="E76" s="22">
        <v>46239</v>
      </c>
      <c r="F76" s="22">
        <v>46284</v>
      </c>
      <c r="G76" s="24">
        <v>1080</v>
      </c>
      <c r="H76" s="25" t="s">
        <v>102</v>
      </c>
      <c r="I76" s="22">
        <v>46290</v>
      </c>
      <c r="J76" s="23" t="s">
        <v>405</v>
      </c>
      <c r="K76" s="27">
        <f>IF(AND(tblInvoices[[#This Row],[Status]]="Pending",tblInvoices[[#This Row],[Due Date]]&lt;AsOfDate),AsOfDate-tblInvoices[[#This Row],[Due Date]],0)</f>
        <v>0</v>
      </c>
    </row>
    <row r="77" spans="2:11" ht="14.4" x14ac:dyDescent="0.3">
      <c r="B77" s="23" t="s">
        <v>406</v>
      </c>
      <c r="C77" s="23" t="s">
        <v>287</v>
      </c>
      <c r="D77" s="23" t="s">
        <v>228</v>
      </c>
      <c r="E77" s="22">
        <v>46241</v>
      </c>
      <c r="F77" s="22">
        <v>46271</v>
      </c>
      <c r="G77" s="24">
        <v>700</v>
      </c>
      <c r="H77" s="25" t="s">
        <v>102</v>
      </c>
      <c r="I77" s="22">
        <v>46269</v>
      </c>
      <c r="J77" s="23" t="s">
        <v>407</v>
      </c>
      <c r="K77" s="27">
        <f>IF(AND(tblInvoices[[#This Row],[Status]]="Pending",tblInvoices[[#This Row],[Due Date]]&lt;AsOfDate),AsOfDate-tblInvoices[[#This Row],[Due Date]],0)</f>
        <v>0</v>
      </c>
    </row>
    <row r="78" spans="2:11" ht="14.4" x14ac:dyDescent="0.3">
      <c r="B78" s="23" t="s">
        <v>408</v>
      </c>
      <c r="C78" s="23" t="s">
        <v>307</v>
      </c>
      <c r="D78" s="23" t="s">
        <v>291</v>
      </c>
      <c r="E78" s="22">
        <v>46245</v>
      </c>
      <c r="F78" s="22">
        <v>46275</v>
      </c>
      <c r="G78" s="24">
        <v>1440</v>
      </c>
      <c r="H78" s="25" t="s">
        <v>102</v>
      </c>
      <c r="I78" s="22">
        <v>46258</v>
      </c>
      <c r="J78" s="23" t="s">
        <v>409</v>
      </c>
      <c r="K78" s="27">
        <f>IF(AND(tblInvoices[[#This Row],[Status]]="Pending",tblInvoices[[#This Row],[Due Date]]&lt;AsOfDate),AsOfDate-tblInvoices[[#This Row],[Due Date]],0)</f>
        <v>0</v>
      </c>
    </row>
    <row r="79" spans="2:11" ht="14.4" x14ac:dyDescent="0.3">
      <c r="B79" s="23" t="s">
        <v>410</v>
      </c>
      <c r="C79" s="23" t="s">
        <v>411</v>
      </c>
      <c r="D79" s="23" t="s">
        <v>242</v>
      </c>
      <c r="E79" s="22">
        <v>46246</v>
      </c>
      <c r="F79" s="22">
        <v>46276</v>
      </c>
      <c r="G79" s="24">
        <v>960</v>
      </c>
      <c r="H79" s="25" t="s">
        <v>102</v>
      </c>
      <c r="I79" s="22">
        <v>46254</v>
      </c>
      <c r="J79" s="23" t="s">
        <v>412</v>
      </c>
      <c r="K79" s="27">
        <f>IF(AND(tblInvoices[[#This Row],[Status]]="Pending",tblInvoices[[#This Row],[Due Date]]&lt;AsOfDate),AsOfDate-tblInvoices[[#This Row],[Due Date]],0)</f>
        <v>0</v>
      </c>
    </row>
    <row r="80" spans="2:11" ht="14.4" x14ac:dyDescent="0.3">
      <c r="B80" s="23" t="s">
        <v>413</v>
      </c>
      <c r="C80" s="23" t="s">
        <v>237</v>
      </c>
      <c r="D80" s="23" t="s">
        <v>224</v>
      </c>
      <c r="E80" s="22">
        <v>46252</v>
      </c>
      <c r="F80" s="22">
        <v>46266</v>
      </c>
      <c r="G80" s="24">
        <v>2600</v>
      </c>
      <c r="H80" s="25" t="s">
        <v>103</v>
      </c>
      <c r="I80" s="22"/>
      <c r="J80" s="23" t="s">
        <v>414</v>
      </c>
      <c r="K80" s="27">
        <f>IF(AND(tblInvoices[[#This Row],[Status]]="Pending",tblInvoices[[#This Row],[Due Date]]&lt;AsOfDate),AsOfDate-tblInvoices[[#This Row],[Due Date]],0)</f>
        <v>29</v>
      </c>
    </row>
    <row r="81" spans="2:11" ht="14.4" x14ac:dyDescent="0.3">
      <c r="B81" s="23" t="s">
        <v>415</v>
      </c>
      <c r="C81" s="23" t="s">
        <v>277</v>
      </c>
      <c r="D81" s="23" t="s">
        <v>238</v>
      </c>
      <c r="E81" s="22">
        <v>46266</v>
      </c>
      <c r="F81" s="22">
        <v>46296</v>
      </c>
      <c r="G81" s="24">
        <v>720</v>
      </c>
      <c r="H81" s="25" t="s">
        <v>102</v>
      </c>
      <c r="I81" s="22">
        <v>46273</v>
      </c>
      <c r="J81" s="23" t="s">
        <v>416</v>
      </c>
      <c r="K81" s="27">
        <f>IF(AND(tblInvoices[[#This Row],[Status]]="Pending",tblInvoices[[#This Row],[Due Date]]&lt;AsOfDate),AsOfDate-tblInvoices[[#This Row],[Due Date]],0)</f>
        <v>0</v>
      </c>
    </row>
    <row r="82" spans="2:11" ht="14.4" x14ac:dyDescent="0.3">
      <c r="B82" s="23" t="s">
        <v>417</v>
      </c>
      <c r="C82" s="23" t="s">
        <v>411</v>
      </c>
      <c r="D82" s="23" t="s">
        <v>291</v>
      </c>
      <c r="E82" s="22">
        <v>46269</v>
      </c>
      <c r="F82" s="22">
        <v>46299</v>
      </c>
      <c r="G82" s="24">
        <v>1440</v>
      </c>
      <c r="H82" s="25" t="s">
        <v>102</v>
      </c>
      <c r="I82" s="22">
        <v>46294</v>
      </c>
      <c r="J82" s="23" t="s">
        <v>418</v>
      </c>
      <c r="K82" s="27">
        <f>IF(AND(tblInvoices[[#This Row],[Status]]="Pending",tblInvoices[[#This Row],[Due Date]]&lt;AsOfDate),AsOfDate-tblInvoices[[#This Row],[Due Date]],0)</f>
        <v>0</v>
      </c>
    </row>
    <row r="83" spans="2:11" ht="14.4" x14ac:dyDescent="0.3">
      <c r="B83" s="23" t="s">
        <v>419</v>
      </c>
      <c r="C83" s="23" t="s">
        <v>290</v>
      </c>
      <c r="D83" s="23" t="s">
        <v>301</v>
      </c>
      <c r="E83" s="22">
        <v>46270</v>
      </c>
      <c r="F83" s="22">
        <v>46300</v>
      </c>
      <c r="G83" s="24">
        <v>1800</v>
      </c>
      <c r="H83" s="25" t="s">
        <v>103</v>
      </c>
      <c r="I83" s="22"/>
      <c r="J83" s="23" t="s">
        <v>420</v>
      </c>
      <c r="K83" s="27">
        <f>IF(AND(tblInvoices[[#This Row],[Status]]="Pending",tblInvoices[[#This Row],[Due Date]]&lt;AsOfDate),AsOfDate-tblInvoices[[#This Row],[Due Date]],0)</f>
        <v>0</v>
      </c>
    </row>
    <row r="84" spans="2:11" ht="14.4" x14ac:dyDescent="0.3">
      <c r="B84" s="23" t="s">
        <v>421</v>
      </c>
      <c r="C84" s="23" t="s">
        <v>223</v>
      </c>
      <c r="D84" s="23" t="s">
        <v>301</v>
      </c>
      <c r="E84" s="22">
        <v>46274</v>
      </c>
      <c r="F84" s="22">
        <v>46304</v>
      </c>
      <c r="G84" s="24">
        <v>1800</v>
      </c>
      <c r="H84" s="25" t="s">
        <v>102</v>
      </c>
      <c r="I84" s="22">
        <v>46294</v>
      </c>
      <c r="J84" s="23" t="s">
        <v>422</v>
      </c>
      <c r="K84" s="27">
        <f>IF(AND(tblInvoices[[#This Row],[Status]]="Pending",tblInvoices[[#This Row],[Due Date]]&lt;AsOfDate),AsOfDate-tblInvoices[[#This Row],[Due Date]],0)</f>
        <v>0</v>
      </c>
    </row>
    <row r="85" spans="2:11" ht="14.4" x14ac:dyDescent="0.3">
      <c r="B85" s="23" t="s">
        <v>423</v>
      </c>
      <c r="C85" s="23" t="s">
        <v>304</v>
      </c>
      <c r="D85" s="23" t="s">
        <v>238</v>
      </c>
      <c r="E85" s="22">
        <v>46275</v>
      </c>
      <c r="F85" s="22">
        <v>46305</v>
      </c>
      <c r="G85" s="24">
        <v>720</v>
      </c>
      <c r="H85" s="25" t="s">
        <v>103</v>
      </c>
      <c r="I85" s="22"/>
      <c r="J85" s="23" t="s">
        <v>424</v>
      </c>
      <c r="K85" s="27">
        <f>IF(AND(tblInvoices[[#This Row],[Status]]="Pending",tblInvoices[[#This Row],[Due Date]]&lt;AsOfDate),AsOfDate-tblInvoices[[#This Row],[Due Date]],0)</f>
        <v>0</v>
      </c>
    </row>
    <row r="86" spans="2:11" ht="14.4" x14ac:dyDescent="0.3">
      <c r="B86" s="23" t="s">
        <v>425</v>
      </c>
      <c r="C86" s="23" t="s">
        <v>241</v>
      </c>
      <c r="D86" s="23" t="s">
        <v>242</v>
      </c>
      <c r="E86" s="22">
        <v>46276</v>
      </c>
      <c r="F86" s="22">
        <v>46321</v>
      </c>
      <c r="G86" s="24">
        <v>960</v>
      </c>
      <c r="H86" s="25" t="s">
        <v>102</v>
      </c>
      <c r="I86" s="22">
        <v>46286</v>
      </c>
      <c r="J86" s="23" t="s">
        <v>426</v>
      </c>
      <c r="K86" s="27">
        <f>IF(AND(tblInvoices[[#This Row],[Status]]="Pending",tblInvoices[[#This Row],[Due Date]]&lt;AsOfDate),AsOfDate-tblInvoices[[#This Row],[Due Date]],0)</f>
        <v>0</v>
      </c>
    </row>
    <row r="87" spans="2:11" ht="14.4" x14ac:dyDescent="0.3">
      <c r="B87" s="23" t="s">
        <v>427</v>
      </c>
      <c r="C87" s="23" t="s">
        <v>267</v>
      </c>
      <c r="D87" s="23" t="s">
        <v>332</v>
      </c>
      <c r="E87" s="22">
        <v>46280</v>
      </c>
      <c r="F87" s="22">
        <v>46310</v>
      </c>
      <c r="G87" s="24">
        <v>2700</v>
      </c>
      <c r="H87" s="25" t="s">
        <v>102</v>
      </c>
      <c r="I87" s="22">
        <v>46283</v>
      </c>
      <c r="J87" s="23" t="s">
        <v>428</v>
      </c>
      <c r="K87" s="27">
        <f>IF(AND(tblInvoices[[#This Row],[Status]]="Pending",tblInvoices[[#This Row],[Due Date]]&lt;AsOfDate),AsOfDate-tblInvoices[[#This Row],[Due Date]],0)</f>
        <v>0</v>
      </c>
    </row>
    <row r="88" spans="2:11" ht="14.4" x14ac:dyDescent="0.3">
      <c r="B88" s="23" t="s">
        <v>429</v>
      </c>
      <c r="C88" s="23" t="s">
        <v>359</v>
      </c>
      <c r="D88" s="23" t="s">
        <v>238</v>
      </c>
      <c r="E88" s="22">
        <v>46287</v>
      </c>
      <c r="F88" s="22">
        <v>46317</v>
      </c>
      <c r="G88" s="24">
        <v>720</v>
      </c>
      <c r="H88" s="25" t="s">
        <v>103</v>
      </c>
      <c r="I88" s="22"/>
      <c r="J88" s="23" t="s">
        <v>430</v>
      </c>
      <c r="K88" s="27">
        <f>IF(AND(tblInvoices[[#This Row],[Status]]="Pending",tblInvoices[[#This Row],[Due Date]]&lt;AsOfDate),AsOfDate-tblInvoices[[#This Row],[Due Date]],0)</f>
        <v>0</v>
      </c>
    </row>
    <row r="89" spans="2:11" ht="14.4" x14ac:dyDescent="0.3">
      <c r="B89" s="23" t="s">
        <v>431</v>
      </c>
      <c r="C89" s="23" t="s">
        <v>359</v>
      </c>
      <c r="D89" s="23" t="s">
        <v>332</v>
      </c>
      <c r="E89" s="22">
        <v>46288</v>
      </c>
      <c r="F89" s="22">
        <v>46302</v>
      </c>
      <c r="G89" s="24">
        <v>2700</v>
      </c>
      <c r="H89" s="25" t="s">
        <v>102</v>
      </c>
      <c r="I89" s="22">
        <v>46292</v>
      </c>
      <c r="J89" s="23" t="s">
        <v>432</v>
      </c>
      <c r="K89" s="27">
        <f>IF(AND(tblInvoices[[#This Row],[Status]]="Pending",tblInvoices[[#This Row],[Due Date]]&lt;AsOfDate),AsOfDate-tblInvoices[[#This Row],[Due Date]],0)</f>
        <v>0</v>
      </c>
    </row>
  </sheetData>
  <mergeCells count="19">
    <mergeCell ref="B1:Q1"/>
    <mergeCell ref="D5:E5"/>
    <mergeCell ref="H5:I5"/>
    <mergeCell ref="B4:C4"/>
    <mergeCell ref="B2:Q2"/>
    <mergeCell ref="B6:C6"/>
    <mergeCell ref="M22:P22"/>
    <mergeCell ref="M13:P13"/>
    <mergeCell ref="B5:C5"/>
    <mergeCell ref="F4:G4"/>
    <mergeCell ref="J5:K5"/>
    <mergeCell ref="F6:G6"/>
    <mergeCell ref="H4:I4"/>
    <mergeCell ref="D6:E6"/>
    <mergeCell ref="H6:I6"/>
    <mergeCell ref="J6:K6"/>
    <mergeCell ref="F5:G5"/>
    <mergeCell ref="J4:K4"/>
    <mergeCell ref="D4:E4"/>
  </mergeCells>
  <conditionalFormatting sqref="B9:K89">
    <cfRule type="expression" dxfId="18" priority="1">
      <formula>$K9&gt;0</formula>
    </cfRule>
    <cfRule type="expression" dxfId="17" priority="2">
      <formula>AND($H9="Pending",$K9=0,$F9-AsOfDate&lt;=7)</formula>
    </cfRule>
  </conditionalFormatting>
  <conditionalFormatting sqref="H9:H89">
    <cfRule type="cellIs" dxfId="16" priority="3" operator="equal">
      <formula>"Paid"</formula>
    </cfRule>
  </conditionalFormatting>
  <dataValidations count="1">
    <dataValidation type="list" allowBlank="1" sqref="H9:H89" xr:uid="{00000000-0002-0000-0300-000000000000}">
      <formula1>"Paid,Pending"</formula1>
    </dataValidation>
  </dataValidations>
  <printOptions horizontalCentered="1"/>
  <pageMargins left="0.4" right="0.4" top="0.5" bottom="0.5" header="0.5" footer="0.5"/>
  <pageSetup fitToHeight="0" orientation="landscape"/>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A9D8F"/>
    <pageSetUpPr fitToPage="1"/>
  </sheetPr>
  <dimension ref="B1:Q50"/>
  <sheetViews>
    <sheetView showGridLines="0" workbookViewId="0">
      <pane ySplit="8" topLeftCell="A9" activePane="bottomLeft" state="frozen"/>
      <selection pane="bottomLeft"/>
    </sheetView>
  </sheetViews>
  <sheetFormatPr defaultRowHeight="16.05" customHeight="1" x14ac:dyDescent="0.3"/>
  <cols>
    <col min="1" max="1" width="2" customWidth="1"/>
    <col min="2" max="2" width="20" customWidth="1"/>
    <col min="3" max="3" width="27" customWidth="1"/>
    <col min="4" max="4" width="36" customWidth="1"/>
    <col min="5" max="5" width="21" customWidth="1"/>
    <col min="6" max="6" width="16" customWidth="1"/>
    <col min="7" max="7" width="12" customWidth="1"/>
    <col min="8" max="8" width="15" customWidth="1"/>
    <col min="9" max="9" width="13" customWidth="1"/>
    <col min="10" max="10" width="14" customWidth="1"/>
    <col min="11" max="11" width="40" customWidth="1"/>
    <col min="12" max="12" width="18" customWidth="1"/>
    <col min="13" max="13" width="3" customWidth="1"/>
    <col min="14" max="14" width="22" customWidth="1"/>
    <col min="15" max="15" width="10" customWidth="1"/>
    <col min="16" max="16" width="14" customWidth="1"/>
    <col min="17" max="17" width="12" customWidth="1"/>
  </cols>
  <sheetData>
    <row r="1" spans="2:17" ht="34.049999999999997" customHeight="1" x14ac:dyDescent="0.3">
      <c r="B1" s="53" t="s">
        <v>39</v>
      </c>
      <c r="C1" s="53"/>
      <c r="D1" s="53"/>
      <c r="E1" s="53"/>
      <c r="F1" s="53"/>
      <c r="G1" s="53"/>
      <c r="H1" s="53"/>
      <c r="I1" s="53"/>
      <c r="J1" s="53"/>
      <c r="K1" s="53"/>
      <c r="L1" s="53"/>
      <c r="M1" s="53"/>
      <c r="N1" s="53"/>
      <c r="O1" s="53"/>
      <c r="P1" s="53"/>
      <c r="Q1" s="53"/>
    </row>
    <row r="2" spans="2:17" ht="22.05" customHeight="1" x14ac:dyDescent="0.3">
      <c r="B2" s="51" t="s">
        <v>433</v>
      </c>
      <c r="C2" s="51"/>
      <c r="D2" s="51"/>
      <c r="E2" s="51"/>
      <c r="F2" s="51"/>
      <c r="G2" s="51"/>
      <c r="H2" s="51"/>
      <c r="I2" s="51"/>
      <c r="J2" s="51"/>
      <c r="K2" s="51"/>
      <c r="L2" s="51"/>
      <c r="M2" s="51"/>
      <c r="N2" s="51"/>
      <c r="O2" s="51"/>
      <c r="P2" s="51"/>
      <c r="Q2" s="51"/>
    </row>
    <row r="3" spans="2:17" ht="6" customHeight="1" x14ac:dyDescent="0.3"/>
    <row r="4" spans="2:17" ht="18" customHeight="1" x14ac:dyDescent="0.3">
      <c r="B4" s="61" t="s">
        <v>434</v>
      </c>
      <c r="C4" s="62"/>
      <c r="D4" s="61" t="s">
        <v>435</v>
      </c>
      <c r="E4" s="62"/>
      <c r="F4" s="61" t="s">
        <v>436</v>
      </c>
      <c r="G4" s="62"/>
      <c r="H4" s="61" t="s">
        <v>437</v>
      </c>
      <c r="I4" s="62"/>
      <c r="J4" s="61" t="s">
        <v>438</v>
      </c>
      <c r="K4" s="62"/>
    </row>
    <row r="5" spans="2:17" ht="30" customHeight="1" x14ac:dyDescent="0.3">
      <c r="B5" s="70">
        <f>COUNTA(tblCRM[Name])</f>
        <v>42</v>
      </c>
      <c r="C5" s="71"/>
      <c r="D5" s="66">
        <f>SUMIFS(tblCRM[Potential Value],tblCRM[Stage],"New")+SUMIFS(tblCRM[Potential Value],tblCRM[Stage],"Qualified")+SUMIFS(tblCRM[Potential Value],tblCRM[Stage],"Proposal")</f>
        <v>103900</v>
      </c>
      <c r="E5" s="67"/>
      <c r="F5" s="70">
        <f>COUNTIFS(tblCRM[Follow-up Status],"Overdue")</f>
        <v>4</v>
      </c>
      <c r="G5" s="71"/>
      <c r="H5" s="66">
        <f>SUMIFS(tblCRM[Potential Value],tblCRM[Stage],"Won")</f>
        <v>105400</v>
      </c>
      <c r="I5" s="67"/>
      <c r="J5" s="75">
        <f>IF(COUNTIFS(tblCRM[Stage],"Won")+COUNTIFS(tblCRM[Stage],"Lost")=0,"N/A",COUNTIFS(tblCRM[Stage],"Won")/(COUNTIFS(tblCRM[Stage],"Won")+COUNTIFS(tblCRM[Stage],"Lost")))</f>
        <v>0.88888888888888884</v>
      </c>
      <c r="K5" s="76"/>
    </row>
    <row r="6" spans="2:17" ht="16.05" customHeight="1" x14ac:dyDescent="0.3">
      <c r="B6" s="59" t="s">
        <v>439</v>
      </c>
      <c r="C6" s="60"/>
      <c r="D6" s="59" t="s">
        <v>440</v>
      </c>
      <c r="E6" s="60"/>
      <c r="F6" s="59" t="s">
        <v>441</v>
      </c>
      <c r="G6" s="60"/>
      <c r="H6" s="59" t="s">
        <v>442</v>
      </c>
      <c r="I6" s="60"/>
      <c r="J6" s="59" t="s">
        <v>443</v>
      </c>
      <c r="K6" s="60"/>
    </row>
    <row r="7" spans="2:17" ht="6" customHeight="1" x14ac:dyDescent="0.3"/>
    <row r="8" spans="2:17" ht="19.95" customHeight="1" x14ac:dyDescent="0.3">
      <c r="B8" s="21" t="s">
        <v>444</v>
      </c>
      <c r="C8" s="21" t="s">
        <v>445</v>
      </c>
      <c r="D8" s="21" t="s">
        <v>446</v>
      </c>
      <c r="E8" s="21" t="s">
        <v>447</v>
      </c>
      <c r="F8" s="21" t="s">
        <v>448</v>
      </c>
      <c r="G8" s="21" t="s">
        <v>449</v>
      </c>
      <c r="H8" s="21" t="s">
        <v>450</v>
      </c>
      <c r="I8" s="21" t="s">
        <v>451</v>
      </c>
      <c r="J8" s="21" t="s">
        <v>452</v>
      </c>
      <c r="K8" s="21" t="s">
        <v>147</v>
      </c>
      <c r="L8" s="26" t="s">
        <v>453</v>
      </c>
      <c r="N8" s="3" t="s">
        <v>454</v>
      </c>
      <c r="O8" s="4" t="s">
        <v>455</v>
      </c>
      <c r="P8" s="4" t="s">
        <v>456</v>
      </c>
      <c r="Q8" s="4" t="s">
        <v>457</v>
      </c>
    </row>
    <row r="9" spans="2:17" ht="14.4" x14ac:dyDescent="0.3">
      <c r="B9" s="23" t="s">
        <v>458</v>
      </c>
      <c r="C9" s="23" t="s">
        <v>459</v>
      </c>
      <c r="D9" s="23" t="s">
        <v>460</v>
      </c>
      <c r="E9" s="23" t="s">
        <v>461</v>
      </c>
      <c r="F9" s="23" t="s">
        <v>462</v>
      </c>
      <c r="G9" s="25" t="s">
        <v>463</v>
      </c>
      <c r="H9" s="29">
        <v>2600</v>
      </c>
      <c r="I9" s="22">
        <v>46275</v>
      </c>
      <c r="J9" s="22">
        <v>46281</v>
      </c>
      <c r="K9" s="23" t="s">
        <v>464</v>
      </c>
      <c r="L9" s="30" t="str">
        <f>IF(OR(tblCRM[[#This Row],[Stage]]="Won",tblCRM[[#This Row],[Stage]]="Lost"),"Closed",IF(tblCRM[[#This Row],[Next Follow-up]]="","No follow-up set",IF(tblCRM[[#This Row],[Next Follow-up]]&lt;AsOfDate,"Overdue",IF(tblCRM[[#This Row],[Next Follow-up]]-AsOfDate&lt;=7,"Due within 7 days","Scheduled"))))</f>
        <v>Overdue</v>
      </c>
      <c r="N9" s="15" t="s">
        <v>463</v>
      </c>
      <c r="O9" s="10">
        <f>COUNTIFS(tblCRM[Stage],$N9)</f>
        <v>5</v>
      </c>
      <c r="P9" s="11">
        <f>SUMIFS(tblCRM[Potential Value],tblCRM[Stage],$N9)</f>
        <v>19100</v>
      </c>
      <c r="Q9" s="16">
        <f>IF($O$14=0,0,O9/$O$14)</f>
        <v>0.11904761904761904</v>
      </c>
    </row>
    <row r="10" spans="2:17" ht="14.4" x14ac:dyDescent="0.3">
      <c r="B10" s="23" t="s">
        <v>465</v>
      </c>
      <c r="C10" s="23" t="s">
        <v>466</v>
      </c>
      <c r="D10" s="23" t="s">
        <v>467</v>
      </c>
      <c r="E10" s="23" t="s">
        <v>468</v>
      </c>
      <c r="F10" s="23" t="s">
        <v>469</v>
      </c>
      <c r="G10" s="25" t="s">
        <v>470</v>
      </c>
      <c r="H10" s="29">
        <v>14500</v>
      </c>
      <c r="I10" s="22">
        <v>46289</v>
      </c>
      <c r="J10" s="22">
        <v>46286</v>
      </c>
      <c r="K10" s="23" t="s">
        <v>471</v>
      </c>
      <c r="L10" s="30" t="str">
        <f>IF(OR(tblCRM[[#This Row],[Stage]]="Won",tblCRM[[#This Row],[Stage]]="Lost"),"Closed",IF(tblCRM[[#This Row],[Next Follow-up]]="","No follow-up set",IF(tblCRM[[#This Row],[Next Follow-up]]&lt;AsOfDate,"Overdue",IF(tblCRM[[#This Row],[Next Follow-up]]-AsOfDate&lt;=7,"Due within 7 days","Scheduled"))))</f>
        <v>Overdue</v>
      </c>
      <c r="N10" s="15" t="s">
        <v>470</v>
      </c>
      <c r="O10" s="10">
        <f>COUNTIFS(tblCRM[Stage],$N10)</f>
        <v>6</v>
      </c>
      <c r="P10" s="11">
        <f>SUMIFS(tblCRM[Potential Value],tblCRM[Stage],$N10)</f>
        <v>49600</v>
      </c>
      <c r="Q10" s="16">
        <f>IF($O$14=0,0,O10/$O$14)</f>
        <v>0.14285714285714285</v>
      </c>
    </row>
    <row r="11" spans="2:17" ht="14.4" x14ac:dyDescent="0.3">
      <c r="B11" s="23" t="s">
        <v>472</v>
      </c>
      <c r="C11" s="23" t="s">
        <v>473</v>
      </c>
      <c r="D11" s="23" t="s">
        <v>474</v>
      </c>
      <c r="E11" s="23" t="s">
        <v>475</v>
      </c>
      <c r="F11" s="23" t="s">
        <v>476</v>
      </c>
      <c r="G11" s="25" t="s">
        <v>463</v>
      </c>
      <c r="H11" s="29">
        <v>2900</v>
      </c>
      <c r="I11" s="22">
        <v>46277</v>
      </c>
      <c r="J11" s="22">
        <v>46290</v>
      </c>
      <c r="K11" s="23" t="s">
        <v>477</v>
      </c>
      <c r="L11" s="30" t="str">
        <f>IF(OR(tblCRM[[#This Row],[Stage]]="Won",tblCRM[[#This Row],[Stage]]="Lost"),"Closed",IF(tblCRM[[#This Row],[Next Follow-up]]="","No follow-up set",IF(tblCRM[[#This Row],[Next Follow-up]]&lt;AsOfDate,"Overdue",IF(tblCRM[[#This Row],[Next Follow-up]]-AsOfDate&lt;=7,"Due within 7 days","Scheduled"))))</f>
        <v>Overdue</v>
      </c>
      <c r="N11" s="15" t="s">
        <v>478</v>
      </c>
      <c r="O11" s="10">
        <f>COUNTIFS(tblCRM[Stage],$N11)</f>
        <v>4</v>
      </c>
      <c r="P11" s="11">
        <f>SUMIFS(tblCRM[Potential Value],tblCRM[Stage],$N11)</f>
        <v>35200</v>
      </c>
      <c r="Q11" s="16">
        <f>IF($O$14=0,0,O11/$O$14)</f>
        <v>9.5238095238095233E-2</v>
      </c>
    </row>
    <row r="12" spans="2:17" ht="14.4" x14ac:dyDescent="0.3">
      <c r="B12" s="23" t="s">
        <v>479</v>
      </c>
      <c r="C12" s="23" t="s">
        <v>480</v>
      </c>
      <c r="D12" s="23" t="s">
        <v>481</v>
      </c>
      <c r="E12" s="23" t="s">
        <v>482</v>
      </c>
      <c r="F12" s="23" t="s">
        <v>483</v>
      </c>
      <c r="G12" s="25" t="s">
        <v>478</v>
      </c>
      <c r="H12" s="29">
        <v>7200</v>
      </c>
      <c r="I12" s="22">
        <v>46287</v>
      </c>
      <c r="J12" s="22">
        <v>46293</v>
      </c>
      <c r="K12" s="23" t="s">
        <v>484</v>
      </c>
      <c r="L12" s="30" t="str">
        <f>IF(OR(tblCRM[[#This Row],[Stage]]="Won",tblCRM[[#This Row],[Stage]]="Lost"),"Closed",IF(tblCRM[[#This Row],[Next Follow-up]]="","No follow-up set",IF(tblCRM[[#This Row],[Next Follow-up]]&lt;AsOfDate,"Overdue",IF(tblCRM[[#This Row],[Next Follow-up]]-AsOfDate&lt;=7,"Due within 7 days","Scheduled"))))</f>
        <v>Overdue</v>
      </c>
      <c r="N12" s="15" t="s">
        <v>485</v>
      </c>
      <c r="O12" s="10">
        <f>COUNTIFS(tblCRM[Stage],$N12)</f>
        <v>24</v>
      </c>
      <c r="P12" s="11">
        <f>SUMIFS(tblCRM[Potential Value],tblCRM[Stage],$N12)</f>
        <v>105400</v>
      </c>
      <c r="Q12" s="16">
        <f>IF($O$14=0,0,O12/$O$14)</f>
        <v>0.5714285714285714</v>
      </c>
    </row>
    <row r="13" spans="2:17" ht="14.4" x14ac:dyDescent="0.3">
      <c r="B13" s="23" t="s">
        <v>486</v>
      </c>
      <c r="C13" s="23" t="s">
        <v>487</v>
      </c>
      <c r="D13" s="23" t="s">
        <v>488</v>
      </c>
      <c r="E13" s="23" t="s">
        <v>489</v>
      </c>
      <c r="F13" s="23" t="s">
        <v>490</v>
      </c>
      <c r="G13" s="25" t="s">
        <v>470</v>
      </c>
      <c r="H13" s="29">
        <v>7700</v>
      </c>
      <c r="I13" s="22">
        <v>46290</v>
      </c>
      <c r="J13" s="22">
        <v>46296</v>
      </c>
      <c r="K13" s="23" t="s">
        <v>491</v>
      </c>
      <c r="L13" s="30" t="str">
        <f>IF(OR(tblCRM[[#This Row],[Stage]]="Won",tblCRM[[#This Row],[Stage]]="Lost"),"Closed",IF(tblCRM[[#This Row],[Next Follow-up]]="","No follow-up set",IF(tblCRM[[#This Row],[Next Follow-up]]&lt;AsOfDate,"Overdue",IF(tblCRM[[#This Row],[Next Follow-up]]-AsOfDate&lt;=7,"Due within 7 days","Scheduled"))))</f>
        <v>Due within 7 days</v>
      </c>
      <c r="N13" s="15" t="s">
        <v>492</v>
      </c>
      <c r="O13" s="10">
        <f>COUNTIFS(tblCRM[Stage],$N13)</f>
        <v>3</v>
      </c>
      <c r="P13" s="11">
        <f>SUMIFS(tblCRM[Potential Value],tblCRM[Stage],$N13)</f>
        <v>13400</v>
      </c>
      <c r="Q13" s="16">
        <f>IF($O$14=0,0,O13/$O$14)</f>
        <v>7.1428571428571425E-2</v>
      </c>
    </row>
    <row r="14" spans="2:17" ht="14.4" x14ac:dyDescent="0.3">
      <c r="B14" s="23" t="s">
        <v>493</v>
      </c>
      <c r="C14" s="23" t="s">
        <v>494</v>
      </c>
      <c r="D14" s="23" t="s">
        <v>495</v>
      </c>
      <c r="E14" s="23" t="s">
        <v>496</v>
      </c>
      <c r="F14" s="23" t="s">
        <v>476</v>
      </c>
      <c r="G14" s="25" t="s">
        <v>478</v>
      </c>
      <c r="H14" s="29">
        <v>11800</v>
      </c>
      <c r="I14" s="22">
        <v>46286</v>
      </c>
      <c r="J14" s="22">
        <v>46297</v>
      </c>
      <c r="K14" s="23" t="s">
        <v>497</v>
      </c>
      <c r="L14" s="30" t="str">
        <f>IF(OR(tblCRM[[#This Row],[Stage]]="Won",tblCRM[[#This Row],[Stage]]="Lost"),"Closed",IF(tblCRM[[#This Row],[Next Follow-up]]="","No follow-up set",IF(tblCRM[[#This Row],[Next Follow-up]]&lt;AsOfDate,"Overdue",IF(tblCRM[[#This Row],[Next Follow-up]]-AsOfDate&lt;=7,"Due within 7 days","Scheduled"))))</f>
        <v>Due within 7 days</v>
      </c>
      <c r="N14" s="12" t="s">
        <v>498</v>
      </c>
      <c r="O14" s="13">
        <f>SUM(O9:O13)</f>
        <v>42</v>
      </c>
      <c r="P14" s="14">
        <f>SUM(P9:P13)</f>
        <v>222700</v>
      </c>
      <c r="Q14" s="17">
        <f>SUM(Q9:Q13)</f>
        <v>0.99999999999999989</v>
      </c>
    </row>
    <row r="15" spans="2:17" ht="14.4" x14ac:dyDescent="0.3">
      <c r="B15" s="23" t="s">
        <v>499</v>
      </c>
      <c r="C15" s="23" t="s">
        <v>500</v>
      </c>
      <c r="D15" s="23" t="s">
        <v>501</v>
      </c>
      <c r="E15" s="23" t="s">
        <v>502</v>
      </c>
      <c r="F15" s="23" t="s">
        <v>490</v>
      </c>
      <c r="G15" s="25" t="s">
        <v>478</v>
      </c>
      <c r="H15" s="29">
        <v>9800</v>
      </c>
      <c r="I15" s="22">
        <v>46284</v>
      </c>
      <c r="J15" s="22">
        <v>46298</v>
      </c>
      <c r="K15" s="23" t="s">
        <v>503</v>
      </c>
      <c r="L15" s="30" t="str">
        <f>IF(OR(tblCRM[[#This Row],[Stage]]="Won",tblCRM[[#This Row],[Stage]]="Lost"),"Closed",IF(tblCRM[[#This Row],[Next Follow-up]]="","No follow-up set",IF(tblCRM[[#This Row],[Next Follow-up]]&lt;AsOfDate,"Overdue",IF(tblCRM[[#This Row],[Next Follow-up]]-AsOfDate&lt;=7,"Due within 7 days","Scheduled"))))</f>
        <v>Due within 7 days</v>
      </c>
      <c r="N15" s="15" t="s">
        <v>504</v>
      </c>
      <c r="O15" s="10">
        <f>SUM(O9:O11)</f>
        <v>15</v>
      </c>
      <c r="P15" s="11">
        <f>SUM(P9:P11)</f>
        <v>103900</v>
      </c>
    </row>
    <row r="16" spans="2:17" ht="14.4" x14ac:dyDescent="0.3">
      <c r="B16" s="23" t="s">
        <v>505</v>
      </c>
      <c r="C16" s="23" t="s">
        <v>506</v>
      </c>
      <c r="D16" s="23" t="s">
        <v>507</v>
      </c>
      <c r="E16" s="23" t="s">
        <v>508</v>
      </c>
      <c r="F16" s="23" t="s">
        <v>509</v>
      </c>
      <c r="G16" s="25" t="s">
        <v>470</v>
      </c>
      <c r="H16" s="29">
        <v>9100</v>
      </c>
      <c r="I16" s="22">
        <v>46282</v>
      </c>
      <c r="J16" s="22">
        <v>46299</v>
      </c>
      <c r="K16" s="23" t="s">
        <v>510</v>
      </c>
      <c r="L16" s="30" t="str">
        <f>IF(OR(tblCRM[[#This Row],[Stage]]="Won",tblCRM[[#This Row],[Stage]]="Lost"),"Closed",IF(tblCRM[[#This Row],[Next Follow-up]]="","No follow-up set",IF(tblCRM[[#This Row],[Next Follow-up]]&lt;AsOfDate,"Overdue",IF(tblCRM[[#This Row],[Next Follow-up]]-AsOfDate&lt;=7,"Due within 7 days","Scheduled"))))</f>
        <v>Due within 7 days</v>
      </c>
      <c r="N16" s="72" t="str">
        <f>IF(O14=B5,"✓ Stage counts match Total Leads","⚠ Some leads have a stage not listed here")</f>
        <v>✓ Stage counts match Total Leads</v>
      </c>
      <c r="O16" s="72"/>
      <c r="P16" s="72"/>
      <c r="Q16" s="72"/>
    </row>
    <row r="17" spans="2:17" ht="14.4" x14ac:dyDescent="0.3">
      <c r="B17" s="23" t="s">
        <v>511</v>
      </c>
      <c r="C17" s="23" t="s">
        <v>512</v>
      </c>
      <c r="D17" s="23" t="s">
        <v>513</v>
      </c>
      <c r="E17" s="23" t="s">
        <v>514</v>
      </c>
      <c r="F17" s="23" t="s">
        <v>483</v>
      </c>
      <c r="G17" s="25" t="s">
        <v>463</v>
      </c>
      <c r="H17" s="29">
        <v>3200</v>
      </c>
      <c r="I17" s="22">
        <v>46292</v>
      </c>
      <c r="J17" s="22">
        <v>46300</v>
      </c>
      <c r="K17" s="23" t="s">
        <v>515</v>
      </c>
      <c r="L17" s="30" t="str">
        <f>IF(OR(tblCRM[[#This Row],[Stage]]="Won",tblCRM[[#This Row],[Stage]]="Lost"),"Closed",IF(tblCRM[[#This Row],[Next Follow-up]]="","No follow-up set",IF(tblCRM[[#This Row],[Next Follow-up]]&lt;AsOfDate,"Overdue",IF(tblCRM[[#This Row],[Next Follow-up]]-AsOfDate&lt;=7,"Due within 7 days","Scheduled"))))</f>
        <v>Due within 7 days</v>
      </c>
    </row>
    <row r="18" spans="2:17" ht="19.95" customHeight="1" x14ac:dyDescent="0.3">
      <c r="B18" s="23" t="s">
        <v>516</v>
      </c>
      <c r="C18" s="23" t="s">
        <v>517</v>
      </c>
      <c r="D18" s="23" t="s">
        <v>518</v>
      </c>
      <c r="E18" s="23" t="s">
        <v>519</v>
      </c>
      <c r="F18" s="23" t="s">
        <v>509</v>
      </c>
      <c r="G18" s="25" t="s">
        <v>470</v>
      </c>
      <c r="H18" s="29">
        <v>8800</v>
      </c>
      <c r="I18" s="22">
        <v>46285</v>
      </c>
      <c r="J18" s="22">
        <v>46301</v>
      </c>
      <c r="K18" s="23" t="s">
        <v>520</v>
      </c>
      <c r="L18" s="30" t="str">
        <f>IF(OR(tblCRM[[#This Row],[Stage]]="Won",tblCRM[[#This Row],[Stage]]="Lost"),"Closed",IF(tblCRM[[#This Row],[Next Follow-up]]="","No follow-up set",IF(tblCRM[[#This Row],[Next Follow-up]]&lt;AsOfDate,"Overdue",IF(tblCRM[[#This Row],[Next Follow-up]]-AsOfDate&lt;=7,"Due within 7 days","Scheduled"))))</f>
        <v>Due within 7 days</v>
      </c>
      <c r="N18" s="3" t="s">
        <v>521</v>
      </c>
      <c r="O18" s="4" t="s">
        <v>455</v>
      </c>
      <c r="P18" s="4" t="s">
        <v>456</v>
      </c>
      <c r="Q18" s="4" t="s">
        <v>485</v>
      </c>
    </row>
    <row r="19" spans="2:17" ht="14.4" x14ac:dyDescent="0.3">
      <c r="B19" s="23" t="s">
        <v>522</v>
      </c>
      <c r="C19" s="23" t="s">
        <v>523</v>
      </c>
      <c r="D19" s="23" t="s">
        <v>524</v>
      </c>
      <c r="E19" s="23" t="s">
        <v>525</v>
      </c>
      <c r="F19" s="23" t="s">
        <v>469</v>
      </c>
      <c r="G19" s="25" t="s">
        <v>470</v>
      </c>
      <c r="H19" s="29">
        <v>4100</v>
      </c>
      <c r="I19" s="22">
        <v>46283</v>
      </c>
      <c r="J19" s="22">
        <v>46303</v>
      </c>
      <c r="K19" s="23" t="s">
        <v>526</v>
      </c>
      <c r="L19" s="30" t="str">
        <f>IF(OR(tblCRM[[#This Row],[Stage]]="Won",tblCRM[[#This Row],[Stage]]="Lost"),"Closed",IF(tblCRM[[#This Row],[Next Follow-up]]="","No follow-up set",IF(tblCRM[[#This Row],[Next Follow-up]]&lt;AsOfDate,"Overdue",IF(tblCRM[[#This Row],[Next Follow-up]]-AsOfDate&lt;=7,"Due within 7 days","Scheduled"))))</f>
        <v>Scheduled</v>
      </c>
      <c r="N19" s="15" t="s">
        <v>469</v>
      </c>
      <c r="O19" s="10">
        <f>COUNTIFS(tblCRM[Lead Source],$N19)</f>
        <v>11</v>
      </c>
      <c r="P19" s="11">
        <f>SUMIFS(tblCRM[Potential Value],tblCRM[Lead Source],$N19)</f>
        <v>66800</v>
      </c>
      <c r="Q19" s="10">
        <f>COUNTIFS(tblCRM[Lead Source],$N19,tblCRM[Stage],"Won")</f>
        <v>8</v>
      </c>
    </row>
    <row r="20" spans="2:17" ht="14.4" x14ac:dyDescent="0.3">
      <c r="B20" s="23" t="s">
        <v>527</v>
      </c>
      <c r="C20" s="23" t="s">
        <v>528</v>
      </c>
      <c r="D20" s="23" t="s">
        <v>529</v>
      </c>
      <c r="E20" s="23" t="s">
        <v>530</v>
      </c>
      <c r="F20" s="23" t="s">
        <v>469</v>
      </c>
      <c r="G20" s="25" t="s">
        <v>478</v>
      </c>
      <c r="H20" s="29">
        <v>6400</v>
      </c>
      <c r="I20" s="22">
        <v>46288</v>
      </c>
      <c r="J20" s="22">
        <v>46305</v>
      </c>
      <c r="K20" s="23" t="s">
        <v>531</v>
      </c>
      <c r="L20" s="30" t="str">
        <f>IF(OR(tblCRM[[#This Row],[Stage]]="Won",tblCRM[[#This Row],[Stage]]="Lost"),"Closed",IF(tblCRM[[#This Row],[Next Follow-up]]="","No follow-up set",IF(tblCRM[[#This Row],[Next Follow-up]]&lt;AsOfDate,"Overdue",IF(tblCRM[[#This Row],[Next Follow-up]]-AsOfDate&lt;=7,"Due within 7 days","Scheduled"))))</f>
        <v>Scheduled</v>
      </c>
      <c r="N20" s="15" t="s">
        <v>483</v>
      </c>
      <c r="O20" s="10">
        <f>COUNTIFS(tblCRM[Lead Source],$N20)</f>
        <v>8</v>
      </c>
      <c r="P20" s="11">
        <f>SUMIFS(tblCRM[Potential Value],tblCRM[Lead Source],$N20)</f>
        <v>35700</v>
      </c>
      <c r="Q20" s="10">
        <f>COUNTIFS(tblCRM[Lead Source],$N20,tblCRM[Stage],"Won")</f>
        <v>4</v>
      </c>
    </row>
    <row r="21" spans="2:17" ht="14.4" x14ac:dyDescent="0.3">
      <c r="B21" s="23" t="s">
        <v>532</v>
      </c>
      <c r="C21" s="23" t="s">
        <v>533</v>
      </c>
      <c r="D21" s="23" t="s">
        <v>534</v>
      </c>
      <c r="E21" s="23" t="s">
        <v>535</v>
      </c>
      <c r="F21" s="23" t="s">
        <v>509</v>
      </c>
      <c r="G21" s="25" t="s">
        <v>470</v>
      </c>
      <c r="H21" s="29">
        <v>5400</v>
      </c>
      <c r="I21" s="22">
        <v>46279</v>
      </c>
      <c r="J21" s="22">
        <v>46307</v>
      </c>
      <c r="K21" s="23" t="s">
        <v>536</v>
      </c>
      <c r="L21" s="30" t="str">
        <f>IF(OR(tblCRM[[#This Row],[Stage]]="Won",tblCRM[[#This Row],[Stage]]="Lost"),"Closed",IF(tblCRM[[#This Row],[Next Follow-up]]="","No follow-up set",IF(tblCRM[[#This Row],[Next Follow-up]]&lt;AsOfDate,"Overdue",IF(tblCRM[[#This Row],[Next Follow-up]]-AsOfDate&lt;=7,"Due within 7 days","Scheduled"))))</f>
        <v>Scheduled</v>
      </c>
      <c r="N21" s="15" t="s">
        <v>490</v>
      </c>
      <c r="O21" s="10">
        <f>COUNTIFS(tblCRM[Lead Source],$N21)</f>
        <v>7</v>
      </c>
      <c r="P21" s="11">
        <f>SUMIFS(tblCRM[Potential Value],tblCRM[Lead Source],$N21)</f>
        <v>42300</v>
      </c>
      <c r="Q21" s="10">
        <f>COUNTIFS(tblCRM[Lead Source],$N21,tblCRM[Stage],"Won")</f>
        <v>4</v>
      </c>
    </row>
    <row r="22" spans="2:17" ht="14.4" x14ac:dyDescent="0.3">
      <c r="B22" s="23" t="s">
        <v>537</v>
      </c>
      <c r="C22" s="23" t="s">
        <v>538</v>
      </c>
      <c r="D22" s="23" t="s">
        <v>539</v>
      </c>
      <c r="E22" s="23" t="s">
        <v>540</v>
      </c>
      <c r="F22" s="23" t="s">
        <v>483</v>
      </c>
      <c r="G22" s="25" t="s">
        <v>463</v>
      </c>
      <c r="H22" s="29">
        <v>3500</v>
      </c>
      <c r="I22" s="22">
        <v>46293</v>
      </c>
      <c r="J22" s="22">
        <v>46311</v>
      </c>
      <c r="K22" s="23" t="s">
        <v>541</v>
      </c>
      <c r="L22" s="30" t="str">
        <f>IF(OR(tblCRM[[#This Row],[Stage]]="Won",tblCRM[[#This Row],[Stage]]="Lost"),"Closed",IF(tblCRM[[#This Row],[Next Follow-up]]="","No follow-up set",IF(tblCRM[[#This Row],[Next Follow-up]]&lt;AsOfDate,"Overdue",IF(tblCRM[[#This Row],[Next Follow-up]]-AsOfDate&lt;=7,"Due within 7 days","Scheduled"))))</f>
        <v>Scheduled</v>
      </c>
      <c r="N22" s="15" t="s">
        <v>476</v>
      </c>
      <c r="O22" s="10">
        <f>COUNTIFS(tblCRM[Lead Source],$N22)</f>
        <v>7</v>
      </c>
      <c r="P22" s="11">
        <f>SUMIFS(tblCRM[Potential Value],tblCRM[Lead Source],$N22)</f>
        <v>31900</v>
      </c>
      <c r="Q22" s="10">
        <f>COUNTIFS(tblCRM[Lead Source],$N22,tblCRM[Stage],"Won")</f>
        <v>5</v>
      </c>
    </row>
    <row r="23" spans="2:17" ht="14.4" x14ac:dyDescent="0.3">
      <c r="B23" s="23" t="s">
        <v>542</v>
      </c>
      <c r="C23" s="23" t="s">
        <v>543</v>
      </c>
      <c r="D23" s="23" t="s">
        <v>544</v>
      </c>
      <c r="E23" s="23" t="s">
        <v>545</v>
      </c>
      <c r="F23" s="23" t="s">
        <v>490</v>
      </c>
      <c r="G23" s="25" t="s">
        <v>463</v>
      </c>
      <c r="H23" s="29">
        <v>6900</v>
      </c>
      <c r="I23" s="22">
        <v>46291</v>
      </c>
      <c r="J23" s="22">
        <v>46315</v>
      </c>
      <c r="K23" s="23" t="s">
        <v>546</v>
      </c>
      <c r="L23" s="30" t="str">
        <f>IF(OR(tblCRM[[#This Row],[Stage]]="Won",tblCRM[[#This Row],[Stage]]="Lost"),"Closed",IF(tblCRM[[#This Row],[Next Follow-up]]="","No follow-up set",IF(tblCRM[[#This Row],[Next Follow-up]]&lt;AsOfDate,"Overdue",IF(tblCRM[[#This Row],[Next Follow-up]]-AsOfDate&lt;=7,"Due within 7 days","Scheduled"))))</f>
        <v>Scheduled</v>
      </c>
      <c r="N23" s="15" t="s">
        <v>509</v>
      </c>
      <c r="O23" s="10">
        <f>COUNTIFS(tblCRM[Lead Source],$N23)</f>
        <v>4</v>
      </c>
      <c r="P23" s="11">
        <f>SUMIFS(tblCRM[Potential Value],tblCRM[Lead Source],$N23)</f>
        <v>24800</v>
      </c>
      <c r="Q23" s="10">
        <f>COUNTIFS(tblCRM[Lead Source],$N23,tblCRM[Stage],"Won")</f>
        <v>1</v>
      </c>
    </row>
    <row r="24" spans="2:17" ht="14.4" x14ac:dyDescent="0.3">
      <c r="B24" s="23" t="s">
        <v>547</v>
      </c>
      <c r="C24" s="23" t="s">
        <v>245</v>
      </c>
      <c r="D24" s="23" t="s">
        <v>548</v>
      </c>
      <c r="E24" s="23" t="s">
        <v>549</v>
      </c>
      <c r="F24" s="23" t="s">
        <v>476</v>
      </c>
      <c r="G24" s="25" t="s">
        <v>485</v>
      </c>
      <c r="H24" s="29">
        <v>6000</v>
      </c>
      <c r="I24" s="22">
        <v>46255</v>
      </c>
      <c r="J24" s="22"/>
      <c r="K24" s="23" t="s">
        <v>550</v>
      </c>
      <c r="L24" s="30" t="str">
        <f>IF(OR(tblCRM[[#This Row],[Stage]]="Won",tblCRM[[#This Row],[Stage]]="Lost"),"Closed",IF(tblCRM[[#This Row],[Next Follow-up]]="","No follow-up set",IF(tblCRM[[#This Row],[Next Follow-up]]&lt;AsOfDate,"Overdue",IF(tblCRM[[#This Row],[Next Follow-up]]-AsOfDate&lt;=7,"Due within 7 days","Scheduled"))))</f>
        <v>Closed</v>
      </c>
      <c r="N24" s="15" t="s">
        <v>462</v>
      </c>
      <c r="O24" s="10">
        <f>COUNTIFS(tblCRM[Lead Source],$N24)</f>
        <v>5</v>
      </c>
      <c r="P24" s="11">
        <f>SUMIFS(tblCRM[Potential Value],tblCRM[Lead Source],$N24)</f>
        <v>21200</v>
      </c>
      <c r="Q24" s="10">
        <f>COUNTIFS(tblCRM[Lead Source],$N24,tblCRM[Stage],"Won")</f>
        <v>2</v>
      </c>
    </row>
    <row r="25" spans="2:17" ht="14.4" x14ac:dyDescent="0.3">
      <c r="B25" s="23" t="s">
        <v>551</v>
      </c>
      <c r="C25" s="23" t="s">
        <v>316</v>
      </c>
      <c r="D25" s="23" t="s">
        <v>552</v>
      </c>
      <c r="E25" s="23" t="s">
        <v>553</v>
      </c>
      <c r="F25" s="23" t="s">
        <v>469</v>
      </c>
      <c r="G25" s="25" t="s">
        <v>485</v>
      </c>
      <c r="H25" s="29">
        <v>11500</v>
      </c>
      <c r="I25" s="22">
        <v>46237</v>
      </c>
      <c r="J25" s="22"/>
      <c r="K25" s="23" t="s">
        <v>550</v>
      </c>
      <c r="L25" s="30" t="str">
        <f>IF(OR(tblCRM[[#This Row],[Stage]]="Won",tblCRM[[#This Row],[Stage]]="Lost"),"Closed",IF(tblCRM[[#This Row],[Next Follow-up]]="","No follow-up set",IF(tblCRM[[#This Row],[Next Follow-up]]&lt;AsOfDate,"Overdue",IF(tblCRM[[#This Row],[Next Follow-up]]-AsOfDate&lt;=7,"Due within 7 days","Scheduled"))))</f>
        <v>Closed</v>
      </c>
    </row>
    <row r="26" spans="2:17" ht="14.4" x14ac:dyDescent="0.3">
      <c r="B26" s="23" t="s">
        <v>554</v>
      </c>
      <c r="C26" s="23" t="s">
        <v>287</v>
      </c>
      <c r="D26" s="23" t="s">
        <v>555</v>
      </c>
      <c r="E26" s="23" t="s">
        <v>556</v>
      </c>
      <c r="F26" s="23" t="s">
        <v>483</v>
      </c>
      <c r="G26" s="25" t="s">
        <v>485</v>
      </c>
      <c r="H26" s="29">
        <v>2200</v>
      </c>
      <c r="I26" s="22">
        <v>46279</v>
      </c>
      <c r="J26" s="22"/>
      <c r="K26" s="23" t="s">
        <v>550</v>
      </c>
      <c r="L26" s="30" t="str">
        <f>IF(OR(tblCRM[[#This Row],[Stage]]="Won",tblCRM[[#This Row],[Stage]]="Lost"),"Closed",IF(tblCRM[[#This Row],[Next Follow-up]]="","No follow-up set",IF(tblCRM[[#This Row],[Next Follow-up]]&lt;AsOfDate,"Overdue",IF(tblCRM[[#This Row],[Next Follow-up]]-AsOfDate&lt;=7,"Due within 7 days","Scheduled"))))</f>
        <v>Closed</v>
      </c>
    </row>
    <row r="27" spans="2:17" ht="14.4" x14ac:dyDescent="0.3">
      <c r="B27" s="23" t="s">
        <v>557</v>
      </c>
      <c r="C27" s="23" t="s">
        <v>219</v>
      </c>
      <c r="D27" s="23" t="s">
        <v>558</v>
      </c>
      <c r="E27" s="23" t="s">
        <v>559</v>
      </c>
      <c r="F27" s="23" t="s">
        <v>483</v>
      </c>
      <c r="G27" s="25" t="s">
        <v>485</v>
      </c>
      <c r="H27" s="29">
        <v>4700</v>
      </c>
      <c r="I27" s="22">
        <v>46262</v>
      </c>
      <c r="J27" s="22"/>
      <c r="K27" s="23" t="s">
        <v>550</v>
      </c>
      <c r="L27" s="30" t="str">
        <f>IF(OR(tblCRM[[#This Row],[Stage]]="Won",tblCRM[[#This Row],[Stage]]="Lost"),"Closed",IF(tblCRM[[#This Row],[Next Follow-up]]="","No follow-up set",IF(tblCRM[[#This Row],[Next Follow-up]]&lt;AsOfDate,"Overdue",IF(tblCRM[[#This Row],[Next Follow-up]]-AsOfDate&lt;=7,"Due within 7 days","Scheduled"))))</f>
        <v>Closed</v>
      </c>
    </row>
    <row r="28" spans="2:17" ht="14.4" x14ac:dyDescent="0.3">
      <c r="B28" s="23" t="s">
        <v>560</v>
      </c>
      <c r="C28" s="23" t="s">
        <v>304</v>
      </c>
      <c r="D28" s="23" t="s">
        <v>561</v>
      </c>
      <c r="E28" s="23" t="s">
        <v>562</v>
      </c>
      <c r="F28" s="23" t="s">
        <v>469</v>
      </c>
      <c r="G28" s="25" t="s">
        <v>485</v>
      </c>
      <c r="H28" s="29">
        <v>2200</v>
      </c>
      <c r="I28" s="22">
        <v>46269</v>
      </c>
      <c r="J28" s="22"/>
      <c r="K28" s="23" t="s">
        <v>550</v>
      </c>
      <c r="L28" s="30" t="str">
        <f>IF(OR(tblCRM[[#This Row],[Stage]]="Won",tblCRM[[#This Row],[Stage]]="Lost"),"Closed",IF(tblCRM[[#This Row],[Next Follow-up]]="","No follow-up set",IF(tblCRM[[#This Row],[Next Follow-up]]&lt;AsOfDate,"Overdue",IF(tblCRM[[#This Row],[Next Follow-up]]-AsOfDate&lt;=7,"Due within 7 days","Scheduled"))))</f>
        <v>Closed</v>
      </c>
    </row>
    <row r="29" spans="2:17" ht="14.4" x14ac:dyDescent="0.3">
      <c r="B29" s="23" t="s">
        <v>563</v>
      </c>
      <c r="C29" s="23" t="s">
        <v>297</v>
      </c>
      <c r="D29" s="23" t="s">
        <v>564</v>
      </c>
      <c r="E29" s="23" t="s">
        <v>565</v>
      </c>
      <c r="F29" s="23" t="s">
        <v>469</v>
      </c>
      <c r="G29" s="25" t="s">
        <v>485</v>
      </c>
      <c r="H29" s="29">
        <v>1500</v>
      </c>
      <c r="I29" s="22">
        <v>46286</v>
      </c>
      <c r="J29" s="22"/>
      <c r="K29" s="23" t="s">
        <v>550</v>
      </c>
      <c r="L29" s="30" t="str">
        <f>IF(OR(tblCRM[[#This Row],[Stage]]="Won",tblCRM[[#This Row],[Stage]]="Lost"),"Closed",IF(tblCRM[[#This Row],[Next Follow-up]]="","No follow-up set",IF(tblCRM[[#This Row],[Next Follow-up]]&lt;AsOfDate,"Overdue",IF(tblCRM[[#This Row],[Next Follow-up]]-AsOfDate&lt;=7,"Due within 7 days","Scheduled"))))</f>
        <v>Closed</v>
      </c>
    </row>
    <row r="30" spans="2:17" ht="14.4" x14ac:dyDescent="0.3">
      <c r="B30" s="23" t="s">
        <v>566</v>
      </c>
      <c r="C30" s="23" t="s">
        <v>338</v>
      </c>
      <c r="D30" s="23" t="s">
        <v>567</v>
      </c>
      <c r="E30" s="23" t="s">
        <v>568</v>
      </c>
      <c r="F30" s="23" t="s">
        <v>509</v>
      </c>
      <c r="G30" s="25" t="s">
        <v>485</v>
      </c>
      <c r="H30" s="29">
        <v>1500</v>
      </c>
      <c r="I30" s="22">
        <v>46263</v>
      </c>
      <c r="J30" s="22"/>
      <c r="K30" s="23" t="s">
        <v>550</v>
      </c>
      <c r="L30" s="30" t="str">
        <f>IF(OR(tblCRM[[#This Row],[Stage]]="Won",tblCRM[[#This Row],[Stage]]="Lost"),"Closed",IF(tblCRM[[#This Row],[Next Follow-up]]="","No follow-up set",IF(tblCRM[[#This Row],[Next Follow-up]]&lt;AsOfDate,"Overdue",IF(tblCRM[[#This Row],[Next Follow-up]]-AsOfDate&lt;=7,"Due within 7 days","Scheduled"))))</f>
        <v>Closed</v>
      </c>
    </row>
    <row r="31" spans="2:17" ht="14.4" x14ac:dyDescent="0.3">
      <c r="B31" s="23" t="s">
        <v>569</v>
      </c>
      <c r="C31" s="23" t="s">
        <v>232</v>
      </c>
      <c r="D31" s="23" t="s">
        <v>570</v>
      </c>
      <c r="E31" s="23" t="s">
        <v>571</v>
      </c>
      <c r="F31" s="23" t="s">
        <v>462</v>
      </c>
      <c r="G31" s="25" t="s">
        <v>485</v>
      </c>
      <c r="H31" s="29">
        <v>8200</v>
      </c>
      <c r="I31" s="22">
        <v>46259</v>
      </c>
      <c r="J31" s="22"/>
      <c r="K31" s="23" t="s">
        <v>550</v>
      </c>
      <c r="L31" s="30" t="str">
        <f>IF(OR(tblCRM[[#This Row],[Stage]]="Won",tblCRM[[#This Row],[Stage]]="Lost"),"Closed",IF(tblCRM[[#This Row],[Next Follow-up]]="","No follow-up set",IF(tblCRM[[#This Row],[Next Follow-up]]&lt;AsOfDate,"Overdue",IF(tblCRM[[#This Row],[Next Follow-up]]-AsOfDate&lt;=7,"Due within 7 days","Scheduled"))))</f>
        <v>Closed</v>
      </c>
    </row>
    <row r="32" spans="2:17" ht="14.4" x14ac:dyDescent="0.3">
      <c r="B32" s="23" t="s">
        <v>572</v>
      </c>
      <c r="C32" s="23" t="s">
        <v>223</v>
      </c>
      <c r="D32" s="23" t="s">
        <v>573</v>
      </c>
      <c r="E32" s="23" t="s">
        <v>574</v>
      </c>
      <c r="F32" s="23" t="s">
        <v>490</v>
      </c>
      <c r="G32" s="25" t="s">
        <v>485</v>
      </c>
      <c r="H32" s="29">
        <v>2200</v>
      </c>
      <c r="I32" s="22">
        <v>46272</v>
      </c>
      <c r="J32" s="22"/>
      <c r="K32" s="23" t="s">
        <v>550</v>
      </c>
      <c r="L32" s="30" t="str">
        <f>IF(OR(tblCRM[[#This Row],[Stage]]="Won",tblCRM[[#This Row],[Stage]]="Lost"),"Closed",IF(tblCRM[[#This Row],[Next Follow-up]]="","No follow-up set",IF(tblCRM[[#This Row],[Next Follow-up]]&lt;AsOfDate,"Overdue",IF(tblCRM[[#This Row],[Next Follow-up]]-AsOfDate&lt;=7,"Due within 7 days","Scheduled"))))</f>
        <v>Closed</v>
      </c>
    </row>
    <row r="33" spans="2:12" ht="14.4" x14ac:dyDescent="0.3">
      <c r="B33" s="23" t="s">
        <v>575</v>
      </c>
      <c r="C33" s="23" t="s">
        <v>300</v>
      </c>
      <c r="D33" s="23" t="s">
        <v>576</v>
      </c>
      <c r="E33" s="23" t="s">
        <v>577</v>
      </c>
      <c r="F33" s="23" t="s">
        <v>490</v>
      </c>
      <c r="G33" s="25" t="s">
        <v>485</v>
      </c>
      <c r="H33" s="29">
        <v>1500</v>
      </c>
      <c r="I33" s="22">
        <v>46244</v>
      </c>
      <c r="J33" s="22"/>
      <c r="K33" s="23" t="s">
        <v>550</v>
      </c>
      <c r="L33" s="30" t="str">
        <f>IF(OR(tblCRM[[#This Row],[Stage]]="Won",tblCRM[[#This Row],[Stage]]="Lost"),"Closed",IF(tblCRM[[#This Row],[Next Follow-up]]="","No follow-up set",IF(tblCRM[[#This Row],[Next Follow-up]]&lt;AsOfDate,"Overdue",IF(tblCRM[[#This Row],[Next Follow-up]]-AsOfDate&lt;=7,"Due within 7 days","Scheduled"))))</f>
        <v>Closed</v>
      </c>
    </row>
    <row r="34" spans="2:12" ht="14.4" x14ac:dyDescent="0.3">
      <c r="B34" s="23" t="s">
        <v>578</v>
      </c>
      <c r="C34" s="23" t="s">
        <v>307</v>
      </c>
      <c r="D34" s="23" t="s">
        <v>579</v>
      </c>
      <c r="E34" s="23" t="s">
        <v>580</v>
      </c>
      <c r="F34" s="23" t="s">
        <v>462</v>
      </c>
      <c r="G34" s="25" t="s">
        <v>485</v>
      </c>
      <c r="H34" s="29">
        <v>2200</v>
      </c>
      <c r="I34" s="22">
        <v>46263</v>
      </c>
      <c r="J34" s="22"/>
      <c r="K34" s="23" t="s">
        <v>550</v>
      </c>
      <c r="L34" s="30" t="str">
        <f>IF(OR(tblCRM[[#This Row],[Stage]]="Won",tblCRM[[#This Row],[Stage]]="Lost"),"Closed",IF(tblCRM[[#This Row],[Next Follow-up]]="","No follow-up set",IF(tblCRM[[#This Row],[Next Follow-up]]&lt;AsOfDate,"Overdue",IF(tblCRM[[#This Row],[Next Follow-up]]-AsOfDate&lt;=7,"Due within 7 days","Scheduled"))))</f>
        <v>Closed</v>
      </c>
    </row>
    <row r="35" spans="2:12" ht="14.4" x14ac:dyDescent="0.3">
      <c r="B35" s="23" t="s">
        <v>581</v>
      </c>
      <c r="C35" s="23" t="s">
        <v>237</v>
      </c>
      <c r="D35" s="23" t="s">
        <v>582</v>
      </c>
      <c r="E35" s="23" t="s">
        <v>583</v>
      </c>
      <c r="F35" s="23" t="s">
        <v>483</v>
      </c>
      <c r="G35" s="25" t="s">
        <v>485</v>
      </c>
      <c r="H35" s="29">
        <v>8200</v>
      </c>
      <c r="I35" s="22">
        <v>46286</v>
      </c>
      <c r="J35" s="22"/>
      <c r="K35" s="23" t="s">
        <v>550</v>
      </c>
      <c r="L35" s="30" t="str">
        <f>IF(OR(tblCRM[[#This Row],[Stage]]="Won",tblCRM[[#This Row],[Stage]]="Lost"),"Closed",IF(tblCRM[[#This Row],[Next Follow-up]]="","No follow-up set",IF(tblCRM[[#This Row],[Next Follow-up]]&lt;AsOfDate,"Overdue",IF(tblCRM[[#This Row],[Next Follow-up]]-AsOfDate&lt;=7,"Due within 7 days","Scheduled"))))</f>
        <v>Closed</v>
      </c>
    </row>
    <row r="36" spans="2:12" ht="14.4" x14ac:dyDescent="0.3">
      <c r="B36" s="23" t="s">
        <v>584</v>
      </c>
      <c r="C36" s="23" t="s">
        <v>227</v>
      </c>
      <c r="D36" s="23" t="s">
        <v>585</v>
      </c>
      <c r="E36" s="23" t="s">
        <v>586</v>
      </c>
      <c r="F36" s="23" t="s">
        <v>469</v>
      </c>
      <c r="G36" s="25" t="s">
        <v>485</v>
      </c>
      <c r="H36" s="29">
        <v>6000</v>
      </c>
      <c r="I36" s="22">
        <v>46281</v>
      </c>
      <c r="J36" s="22"/>
      <c r="K36" s="23" t="s">
        <v>550</v>
      </c>
      <c r="L36" s="30" t="str">
        <f>IF(OR(tblCRM[[#This Row],[Stage]]="Won",tblCRM[[#This Row],[Stage]]="Lost"),"Closed",IF(tblCRM[[#This Row],[Next Follow-up]]="","No follow-up set",IF(tblCRM[[#This Row],[Next Follow-up]]&lt;AsOfDate,"Overdue",IF(tblCRM[[#This Row],[Next Follow-up]]-AsOfDate&lt;=7,"Due within 7 days","Scheduled"))))</f>
        <v>Closed</v>
      </c>
    </row>
    <row r="37" spans="2:12" ht="14.4" x14ac:dyDescent="0.3">
      <c r="B37" s="23" t="s">
        <v>587</v>
      </c>
      <c r="C37" s="23" t="s">
        <v>277</v>
      </c>
      <c r="D37" s="23" t="s">
        <v>588</v>
      </c>
      <c r="E37" s="23" t="s">
        <v>589</v>
      </c>
      <c r="F37" s="23" t="s">
        <v>476</v>
      </c>
      <c r="G37" s="25" t="s">
        <v>485</v>
      </c>
      <c r="H37" s="29">
        <v>2200</v>
      </c>
      <c r="I37" s="22">
        <v>46283</v>
      </c>
      <c r="J37" s="22"/>
      <c r="K37" s="23" t="s">
        <v>550</v>
      </c>
      <c r="L37" s="30" t="str">
        <f>IF(OR(tblCRM[[#This Row],[Stage]]="Won",tblCRM[[#This Row],[Stage]]="Lost"),"Closed",IF(tblCRM[[#This Row],[Next Follow-up]]="","No follow-up set",IF(tblCRM[[#This Row],[Next Follow-up]]&lt;AsOfDate,"Overdue",IF(tblCRM[[#This Row],[Next Follow-up]]-AsOfDate&lt;=7,"Due within 7 days","Scheduled"))))</f>
        <v>Closed</v>
      </c>
    </row>
    <row r="38" spans="2:12" ht="14.4" x14ac:dyDescent="0.3">
      <c r="B38" s="23" t="s">
        <v>590</v>
      </c>
      <c r="C38" s="23" t="s">
        <v>267</v>
      </c>
      <c r="D38" s="23" t="s">
        <v>591</v>
      </c>
      <c r="E38" s="23" t="s">
        <v>583</v>
      </c>
      <c r="F38" s="23" t="s">
        <v>476</v>
      </c>
      <c r="G38" s="25" t="s">
        <v>485</v>
      </c>
      <c r="H38" s="29">
        <v>6000</v>
      </c>
      <c r="I38" s="22">
        <v>46242</v>
      </c>
      <c r="J38" s="22"/>
      <c r="K38" s="23" t="s">
        <v>550</v>
      </c>
      <c r="L38" s="30" t="str">
        <f>IF(OR(tblCRM[[#This Row],[Stage]]="Won",tblCRM[[#This Row],[Stage]]="Lost"),"Closed",IF(tblCRM[[#This Row],[Next Follow-up]]="","No follow-up set",IF(tblCRM[[#This Row],[Next Follow-up]]&lt;AsOfDate,"Overdue",IF(tblCRM[[#This Row],[Next Follow-up]]-AsOfDate&lt;=7,"Due within 7 days","Scheduled"))))</f>
        <v>Closed</v>
      </c>
    </row>
    <row r="39" spans="2:12" ht="14.4" x14ac:dyDescent="0.3">
      <c r="B39" s="23" t="s">
        <v>592</v>
      </c>
      <c r="C39" s="23" t="s">
        <v>241</v>
      </c>
      <c r="D39" s="23" t="s">
        <v>593</v>
      </c>
      <c r="E39" s="23" t="s">
        <v>594</v>
      </c>
      <c r="F39" s="23" t="s">
        <v>469</v>
      </c>
      <c r="G39" s="25" t="s">
        <v>485</v>
      </c>
      <c r="H39" s="29">
        <v>2200</v>
      </c>
      <c r="I39" s="22">
        <v>46287</v>
      </c>
      <c r="J39" s="22"/>
      <c r="K39" s="23" t="s">
        <v>550</v>
      </c>
      <c r="L39" s="30" t="str">
        <f>IF(OR(tblCRM[[#This Row],[Stage]]="Won",tblCRM[[#This Row],[Stage]]="Lost"),"Closed",IF(tblCRM[[#This Row],[Next Follow-up]]="","No follow-up set",IF(tblCRM[[#This Row],[Next Follow-up]]&lt;AsOfDate,"Overdue",IF(tblCRM[[#This Row],[Next Follow-up]]-AsOfDate&lt;=7,"Due within 7 days","Scheduled"))))</f>
        <v>Closed</v>
      </c>
    </row>
    <row r="40" spans="2:12" ht="14.4" x14ac:dyDescent="0.3">
      <c r="B40" s="23" t="s">
        <v>595</v>
      </c>
      <c r="C40" s="23" t="s">
        <v>294</v>
      </c>
      <c r="D40" s="23" t="s">
        <v>596</v>
      </c>
      <c r="E40" s="23" t="s">
        <v>597</v>
      </c>
      <c r="F40" s="23" t="s">
        <v>469</v>
      </c>
      <c r="G40" s="25" t="s">
        <v>485</v>
      </c>
      <c r="H40" s="29">
        <v>4700</v>
      </c>
      <c r="I40" s="22">
        <v>46265</v>
      </c>
      <c r="J40" s="22"/>
      <c r="K40" s="23" t="s">
        <v>550</v>
      </c>
      <c r="L40" s="30" t="str">
        <f>IF(OR(tblCRM[[#This Row],[Stage]]="Won",tblCRM[[#This Row],[Stage]]="Lost"),"Closed",IF(tblCRM[[#This Row],[Next Follow-up]]="","No follow-up set",IF(tblCRM[[#This Row],[Next Follow-up]]&lt;AsOfDate,"Overdue",IF(tblCRM[[#This Row],[Next Follow-up]]-AsOfDate&lt;=7,"Due within 7 days","Scheduled"))))</f>
        <v>Closed</v>
      </c>
    </row>
    <row r="41" spans="2:12" ht="14.4" x14ac:dyDescent="0.3">
      <c r="B41" s="23" t="s">
        <v>598</v>
      </c>
      <c r="C41" s="23" t="s">
        <v>290</v>
      </c>
      <c r="D41" s="23" t="s">
        <v>599</v>
      </c>
      <c r="E41" s="23" t="s">
        <v>600</v>
      </c>
      <c r="F41" s="23" t="s">
        <v>476</v>
      </c>
      <c r="G41" s="25" t="s">
        <v>485</v>
      </c>
      <c r="H41" s="29">
        <v>1500</v>
      </c>
      <c r="I41" s="22">
        <v>46264</v>
      </c>
      <c r="J41" s="22"/>
      <c r="K41" s="23" t="s">
        <v>550</v>
      </c>
      <c r="L41" s="30" t="str">
        <f>IF(OR(tblCRM[[#This Row],[Stage]]="Won",tblCRM[[#This Row],[Stage]]="Lost"),"Closed",IF(tblCRM[[#This Row],[Next Follow-up]]="","No follow-up set",IF(tblCRM[[#This Row],[Next Follow-up]]&lt;AsOfDate,"Overdue",IF(tblCRM[[#This Row],[Next Follow-up]]-AsOfDate&lt;=7,"Due within 7 days","Scheduled"))))</f>
        <v>Closed</v>
      </c>
    </row>
    <row r="42" spans="2:12" ht="14.4" x14ac:dyDescent="0.3">
      <c r="B42" s="23" t="s">
        <v>601</v>
      </c>
      <c r="C42" s="23" t="s">
        <v>602</v>
      </c>
      <c r="D42" s="23" t="s">
        <v>603</v>
      </c>
      <c r="E42" s="23" t="s">
        <v>553</v>
      </c>
      <c r="F42" s="23" t="s">
        <v>476</v>
      </c>
      <c r="G42" s="25" t="s">
        <v>485</v>
      </c>
      <c r="H42" s="29">
        <v>1500</v>
      </c>
      <c r="I42" s="22">
        <v>46289</v>
      </c>
      <c r="J42" s="22"/>
      <c r="K42" s="23" t="s">
        <v>550</v>
      </c>
      <c r="L42" s="30" t="str">
        <f>IF(OR(tblCRM[[#This Row],[Stage]]="Won",tblCRM[[#This Row],[Stage]]="Lost"),"Closed",IF(tblCRM[[#This Row],[Next Follow-up]]="","No follow-up set",IF(tblCRM[[#This Row],[Next Follow-up]]&lt;AsOfDate,"Overdue",IF(tblCRM[[#This Row],[Next Follow-up]]-AsOfDate&lt;=7,"Due within 7 days","Scheduled"))))</f>
        <v>Closed</v>
      </c>
    </row>
    <row r="43" spans="2:12" ht="14.4" x14ac:dyDescent="0.3">
      <c r="B43" s="23" t="s">
        <v>604</v>
      </c>
      <c r="C43" s="23" t="s">
        <v>353</v>
      </c>
      <c r="D43" s="23" t="s">
        <v>605</v>
      </c>
      <c r="E43" s="23" t="s">
        <v>606</v>
      </c>
      <c r="F43" s="23" t="s">
        <v>490</v>
      </c>
      <c r="G43" s="25" t="s">
        <v>485</v>
      </c>
      <c r="H43" s="29">
        <v>8200</v>
      </c>
      <c r="I43" s="22">
        <v>46288</v>
      </c>
      <c r="J43" s="22"/>
      <c r="K43" s="23" t="s">
        <v>550</v>
      </c>
      <c r="L43" s="30" t="str">
        <f>IF(OR(tblCRM[[#This Row],[Stage]]="Won",tblCRM[[#This Row],[Stage]]="Lost"),"Closed",IF(tblCRM[[#This Row],[Next Follow-up]]="","No follow-up set",IF(tblCRM[[#This Row],[Next Follow-up]]&lt;AsOfDate,"Overdue",IF(tblCRM[[#This Row],[Next Follow-up]]-AsOfDate&lt;=7,"Due within 7 days","Scheduled"))))</f>
        <v>Closed</v>
      </c>
    </row>
    <row r="44" spans="2:12" ht="14.4" x14ac:dyDescent="0.3">
      <c r="B44" s="23" t="s">
        <v>607</v>
      </c>
      <c r="C44" s="23" t="s">
        <v>345</v>
      </c>
      <c r="D44" s="23" t="s">
        <v>608</v>
      </c>
      <c r="E44" s="23" t="s">
        <v>606</v>
      </c>
      <c r="F44" s="23" t="s">
        <v>483</v>
      </c>
      <c r="G44" s="25" t="s">
        <v>485</v>
      </c>
      <c r="H44" s="29">
        <v>1500</v>
      </c>
      <c r="I44" s="22">
        <v>46270</v>
      </c>
      <c r="J44" s="22"/>
      <c r="K44" s="23" t="s">
        <v>550</v>
      </c>
      <c r="L44" s="30" t="str">
        <f>IF(OR(tblCRM[[#This Row],[Stage]]="Won",tblCRM[[#This Row],[Stage]]="Lost"),"Closed",IF(tblCRM[[#This Row],[Next Follow-up]]="","No follow-up set",IF(tblCRM[[#This Row],[Next Follow-up]]&lt;AsOfDate,"Overdue",IF(tblCRM[[#This Row],[Next Follow-up]]-AsOfDate&lt;=7,"Due within 7 days","Scheduled"))))</f>
        <v>Closed</v>
      </c>
    </row>
    <row r="45" spans="2:12" ht="14.4" x14ac:dyDescent="0.3">
      <c r="B45" s="23" t="s">
        <v>609</v>
      </c>
      <c r="C45" s="23" t="s">
        <v>411</v>
      </c>
      <c r="D45" s="23" t="s">
        <v>610</v>
      </c>
      <c r="E45" s="23" t="s">
        <v>611</v>
      </c>
      <c r="F45" s="23" t="s">
        <v>490</v>
      </c>
      <c r="G45" s="25" t="s">
        <v>485</v>
      </c>
      <c r="H45" s="29">
        <v>6000</v>
      </c>
      <c r="I45" s="22">
        <v>46254</v>
      </c>
      <c r="J45" s="22"/>
      <c r="K45" s="23" t="s">
        <v>550</v>
      </c>
      <c r="L45" s="30" t="str">
        <f>IF(OR(tblCRM[[#This Row],[Stage]]="Won",tblCRM[[#This Row],[Stage]]="Lost"),"Closed",IF(tblCRM[[#This Row],[Next Follow-up]]="","No follow-up set",IF(tblCRM[[#This Row],[Next Follow-up]]&lt;AsOfDate,"Overdue",IF(tblCRM[[#This Row],[Next Follow-up]]-AsOfDate&lt;=7,"Due within 7 days","Scheduled"))))</f>
        <v>Closed</v>
      </c>
    </row>
    <row r="46" spans="2:12" ht="14.4" x14ac:dyDescent="0.3">
      <c r="B46" s="23" t="s">
        <v>612</v>
      </c>
      <c r="C46" s="23" t="s">
        <v>359</v>
      </c>
      <c r="D46" s="23" t="s">
        <v>613</v>
      </c>
      <c r="E46" s="23" t="s">
        <v>614</v>
      </c>
      <c r="F46" s="23" t="s">
        <v>469</v>
      </c>
      <c r="G46" s="25" t="s">
        <v>485</v>
      </c>
      <c r="H46" s="29">
        <v>11500</v>
      </c>
      <c r="I46" s="22">
        <v>46265</v>
      </c>
      <c r="J46" s="22"/>
      <c r="K46" s="23" t="s">
        <v>550</v>
      </c>
      <c r="L46" s="30" t="str">
        <f>IF(OR(tblCRM[[#This Row],[Stage]]="Won",tblCRM[[#This Row],[Stage]]="Lost"),"Closed",IF(tblCRM[[#This Row],[Next Follow-up]]="","No follow-up set",IF(tblCRM[[#This Row],[Next Follow-up]]&lt;AsOfDate,"Overdue",IF(tblCRM[[#This Row],[Next Follow-up]]-AsOfDate&lt;=7,"Due within 7 days","Scheduled"))))</f>
        <v>Closed</v>
      </c>
    </row>
    <row r="47" spans="2:12" ht="14.4" x14ac:dyDescent="0.3">
      <c r="B47" s="23" t="s">
        <v>615</v>
      </c>
      <c r="C47" s="23" t="s">
        <v>616</v>
      </c>
      <c r="D47" s="23" t="s">
        <v>617</v>
      </c>
      <c r="E47" s="23" t="s">
        <v>618</v>
      </c>
      <c r="F47" s="23" t="s">
        <v>469</v>
      </c>
      <c r="G47" s="25" t="s">
        <v>485</v>
      </c>
      <c r="H47" s="29">
        <v>2200</v>
      </c>
      <c r="I47" s="22">
        <v>46269</v>
      </c>
      <c r="J47" s="22"/>
      <c r="K47" s="23" t="s">
        <v>550</v>
      </c>
      <c r="L47" s="30" t="str">
        <f>IF(OR(tblCRM[[#This Row],[Stage]]="Won",tblCRM[[#This Row],[Stage]]="Lost"),"Closed",IF(tblCRM[[#This Row],[Next Follow-up]]="","No follow-up set",IF(tblCRM[[#This Row],[Next Follow-up]]&lt;AsOfDate,"Overdue",IF(tblCRM[[#This Row],[Next Follow-up]]-AsOfDate&lt;=7,"Due within 7 days","Scheduled"))))</f>
        <v>Closed</v>
      </c>
    </row>
    <row r="48" spans="2:12" ht="14.4" x14ac:dyDescent="0.3">
      <c r="B48" s="23" t="s">
        <v>619</v>
      </c>
      <c r="C48" s="23" t="s">
        <v>620</v>
      </c>
      <c r="D48" s="23" t="s">
        <v>621</v>
      </c>
      <c r="E48" s="23" t="s">
        <v>622</v>
      </c>
      <c r="F48" s="23" t="s">
        <v>462</v>
      </c>
      <c r="G48" s="25" t="s">
        <v>492</v>
      </c>
      <c r="H48" s="29">
        <v>3800</v>
      </c>
      <c r="I48" s="22">
        <v>46265</v>
      </c>
      <c r="J48" s="22"/>
      <c r="K48" s="23" t="s">
        <v>623</v>
      </c>
      <c r="L48" s="30" t="str">
        <f>IF(OR(tblCRM[[#This Row],[Stage]]="Won",tblCRM[[#This Row],[Stage]]="Lost"),"Closed",IF(tblCRM[[#This Row],[Next Follow-up]]="","No follow-up set",IF(tblCRM[[#This Row],[Next Follow-up]]&lt;AsOfDate,"Overdue",IF(tblCRM[[#This Row],[Next Follow-up]]-AsOfDate&lt;=7,"Due within 7 days","Scheduled"))))</f>
        <v>Closed</v>
      </c>
    </row>
    <row r="49" spans="2:12" ht="14.4" x14ac:dyDescent="0.3">
      <c r="B49" s="23" t="s">
        <v>624</v>
      </c>
      <c r="C49" s="23" t="s">
        <v>625</v>
      </c>
      <c r="D49" s="23" t="s">
        <v>626</v>
      </c>
      <c r="E49" s="23" t="s">
        <v>627</v>
      </c>
      <c r="F49" s="23" t="s">
        <v>483</v>
      </c>
      <c r="G49" s="25" t="s">
        <v>492</v>
      </c>
      <c r="H49" s="29">
        <v>5200</v>
      </c>
      <c r="I49" s="22">
        <v>46255</v>
      </c>
      <c r="J49" s="22"/>
      <c r="K49" s="23" t="s">
        <v>628</v>
      </c>
      <c r="L49" s="30" t="str">
        <f>IF(OR(tblCRM[[#This Row],[Stage]]="Won",tblCRM[[#This Row],[Stage]]="Lost"),"Closed",IF(tblCRM[[#This Row],[Next Follow-up]]="","No follow-up set",IF(tblCRM[[#This Row],[Next Follow-up]]&lt;AsOfDate,"Overdue",IF(tblCRM[[#This Row],[Next Follow-up]]-AsOfDate&lt;=7,"Due within 7 days","Scheduled"))))</f>
        <v>Closed</v>
      </c>
    </row>
    <row r="50" spans="2:12" ht="14.4" x14ac:dyDescent="0.3">
      <c r="B50" s="23" t="s">
        <v>629</v>
      </c>
      <c r="C50" s="23" t="s">
        <v>630</v>
      </c>
      <c r="D50" s="23" t="s">
        <v>631</v>
      </c>
      <c r="E50" s="23" t="s">
        <v>632</v>
      </c>
      <c r="F50" s="23" t="s">
        <v>462</v>
      </c>
      <c r="G50" s="25" t="s">
        <v>492</v>
      </c>
      <c r="H50" s="29">
        <v>4400</v>
      </c>
      <c r="I50" s="22">
        <v>46270</v>
      </c>
      <c r="J50" s="22"/>
      <c r="K50" s="23" t="s">
        <v>633</v>
      </c>
      <c r="L50" s="30" t="str">
        <f>IF(OR(tblCRM[[#This Row],[Stage]]="Won",tblCRM[[#This Row],[Stage]]="Lost"),"Closed",IF(tblCRM[[#This Row],[Next Follow-up]]="","No follow-up set",IF(tblCRM[[#This Row],[Next Follow-up]]&lt;AsOfDate,"Overdue",IF(tblCRM[[#This Row],[Next Follow-up]]-AsOfDate&lt;=7,"Due within 7 days","Scheduled"))))</f>
        <v>Closed</v>
      </c>
    </row>
  </sheetData>
  <mergeCells count="18">
    <mergeCell ref="B1:Q1"/>
    <mergeCell ref="D5:E5"/>
    <mergeCell ref="F5:G5"/>
    <mergeCell ref="N16:Q16"/>
    <mergeCell ref="F6:G6"/>
    <mergeCell ref="D4:E4"/>
    <mergeCell ref="H5:I5"/>
    <mergeCell ref="H4:I4"/>
    <mergeCell ref="B2:Q2"/>
    <mergeCell ref="B4:C4"/>
    <mergeCell ref="D6:E6"/>
    <mergeCell ref="B6:C6"/>
    <mergeCell ref="F4:G4"/>
    <mergeCell ref="J4:K4"/>
    <mergeCell ref="H6:I6"/>
    <mergeCell ref="J5:K5"/>
    <mergeCell ref="J6:K6"/>
    <mergeCell ref="B5:C5"/>
  </mergeCells>
  <conditionalFormatting sqref="J9:J50">
    <cfRule type="expression" dxfId="15" priority="1">
      <formula>AND($J9&lt;&gt;"",$J9&lt;AsOfDate,$G9&lt;&gt;"Won",$G9&lt;&gt;"Lost")</formula>
    </cfRule>
    <cfRule type="expression" dxfId="14" priority="2">
      <formula>AND($J9&lt;&gt;"",$J9&gt;=AsOfDate,$J9-AsOfDate&lt;=7,$G9&lt;&gt;"Won",$G9&lt;&gt;"Lost")</formula>
    </cfRule>
  </conditionalFormatting>
  <conditionalFormatting sqref="L9:L50">
    <cfRule type="cellIs" dxfId="13" priority="3" operator="equal">
      <formula>"Overdue"</formula>
    </cfRule>
    <cfRule type="cellIs" dxfId="12" priority="4" operator="equal">
      <formula>"Due within 7 days"</formula>
    </cfRule>
    <cfRule type="cellIs" dxfId="11" priority="5" operator="equal">
      <formula>"Closed"</formula>
    </cfRule>
  </conditionalFormatting>
  <conditionalFormatting sqref="G9:G50">
    <cfRule type="cellIs" dxfId="10" priority="6" operator="equal">
      <formula>"Won"</formula>
    </cfRule>
    <cfRule type="cellIs" dxfId="9" priority="7" operator="equal">
      <formula>"Lost"</formula>
    </cfRule>
  </conditionalFormatting>
  <dataValidations count="2">
    <dataValidation type="list" allowBlank="1" sqref="G9:G50" xr:uid="{00000000-0002-0000-0400-000000000000}">
      <formula1>"New,Qualified,Proposal,Won,Lost"</formula1>
    </dataValidation>
    <dataValidation type="list" allowBlank="1" sqref="F9:F50" xr:uid="{00000000-0002-0000-0400-000001000000}">
      <formula1>"Referral,Website,LinkedIn,Email Campaign,Event,Cold Outreach"</formula1>
    </dataValidation>
  </dataValidations>
  <printOptions horizontalCentered="1"/>
  <pageMargins left="0.4" right="0.4" top="0.5" bottom="0.5" header="0.5" footer="0.5"/>
  <pageSetup fitToHeight="0" orientation="landscape"/>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F3A5F"/>
    <pageSetUpPr fitToPage="1"/>
  </sheetPr>
  <dimension ref="B2:M66"/>
  <sheetViews>
    <sheetView showGridLines="0" workbookViewId="0"/>
  </sheetViews>
  <sheetFormatPr defaultRowHeight="16.05" customHeight="1" x14ac:dyDescent="0.3"/>
  <cols>
    <col min="1" max="1" width="2" customWidth="1"/>
    <col min="2" max="13" width="13.44140625" customWidth="1"/>
    <col min="14" max="14" width="2" customWidth="1"/>
  </cols>
  <sheetData>
    <row r="2" spans="2:13" ht="34.049999999999997" customHeight="1" x14ac:dyDescent="0.3">
      <c r="B2" s="53" t="s">
        <v>634</v>
      </c>
      <c r="C2" s="53"/>
      <c r="D2" s="53"/>
      <c r="E2" s="53"/>
      <c r="F2" s="53"/>
      <c r="G2" s="53"/>
      <c r="H2" s="53"/>
      <c r="I2" s="53"/>
      <c r="J2" s="53"/>
      <c r="K2" s="53"/>
      <c r="L2" s="53"/>
      <c r="M2" s="53"/>
    </row>
    <row r="3" spans="2:13" ht="22.05" customHeight="1" x14ac:dyDescent="0.3">
      <c r="B3" s="51" t="s">
        <v>635</v>
      </c>
      <c r="C3" s="51"/>
      <c r="D3" s="51"/>
      <c r="E3" s="51"/>
      <c r="F3" s="51"/>
      <c r="G3" s="51"/>
      <c r="H3" s="51"/>
      <c r="I3" s="51"/>
      <c r="J3" s="51"/>
      <c r="K3" s="51"/>
      <c r="L3" s="51"/>
      <c r="M3" s="51"/>
    </row>
    <row r="4" spans="2:13" ht="7.95" customHeight="1" x14ac:dyDescent="0.3"/>
    <row r="5" spans="2:13" ht="18" customHeight="1" x14ac:dyDescent="0.3">
      <c r="B5" s="61" t="s">
        <v>636</v>
      </c>
      <c r="C5" s="62"/>
      <c r="D5" s="61" t="s">
        <v>87</v>
      </c>
      <c r="E5" s="62"/>
      <c r="F5" s="61" t="s">
        <v>88</v>
      </c>
      <c r="G5" s="62"/>
      <c r="H5" s="61" t="s">
        <v>33</v>
      </c>
      <c r="I5" s="62"/>
      <c r="J5" s="61" t="s">
        <v>637</v>
      </c>
      <c r="K5" s="62"/>
      <c r="L5" s="61" t="s">
        <v>638</v>
      </c>
      <c r="M5" s="62"/>
    </row>
    <row r="6" spans="2:13" ht="30" customHeight="1" x14ac:dyDescent="0.3">
      <c r="B6" s="66">
        <f>SALES_DASHBOARD!B6</f>
        <v>129906</v>
      </c>
      <c r="C6" s="67"/>
      <c r="D6" s="66">
        <f>SALES_DASHBOARD!D6</f>
        <v>112736</v>
      </c>
      <c r="E6" s="67"/>
      <c r="F6" s="66">
        <f>SALES_DASHBOARD!F6</f>
        <v>17170</v>
      </c>
      <c r="G6" s="67"/>
      <c r="H6" s="66">
        <f>EXPENSES!B5</f>
        <v>96363.90999999996</v>
      </c>
      <c r="I6" s="67"/>
      <c r="J6" s="66">
        <f>B6-H6</f>
        <v>33542.09000000004</v>
      </c>
      <c r="K6" s="67"/>
      <c r="L6" s="75">
        <f>IF(B6=0,"N/A / Requires Data",J6/B6)</f>
        <v>0.25820277739288439</v>
      </c>
      <c r="M6" s="76"/>
    </row>
    <row r="7" spans="2:13" ht="16.05" customHeight="1" x14ac:dyDescent="0.3">
      <c r="B7" s="59" t="s">
        <v>639</v>
      </c>
      <c r="C7" s="60"/>
      <c r="D7" s="59" t="s">
        <v>93</v>
      </c>
      <c r="E7" s="60"/>
      <c r="F7" s="59" t="s">
        <v>94</v>
      </c>
      <c r="G7" s="60"/>
      <c r="H7" s="59" t="s">
        <v>640</v>
      </c>
      <c r="I7" s="60"/>
      <c r="J7" s="59" t="s">
        <v>641</v>
      </c>
      <c r="K7" s="60"/>
      <c r="L7" s="59" t="s">
        <v>642</v>
      </c>
      <c r="M7" s="60"/>
    </row>
    <row r="8" spans="2:13" ht="7.95" customHeight="1" x14ac:dyDescent="0.3"/>
    <row r="9" spans="2:13" ht="18" customHeight="1" x14ac:dyDescent="0.3">
      <c r="B9" s="61" t="s">
        <v>643</v>
      </c>
      <c r="C9" s="62"/>
      <c r="D9" s="61" t="s">
        <v>90</v>
      </c>
      <c r="E9" s="62"/>
      <c r="F9" s="61" t="s">
        <v>644</v>
      </c>
      <c r="G9" s="62"/>
      <c r="H9" s="61" t="s">
        <v>645</v>
      </c>
      <c r="I9" s="62"/>
      <c r="J9" s="61" t="s">
        <v>646</v>
      </c>
      <c r="K9" s="62"/>
      <c r="L9" s="61" t="s">
        <v>204</v>
      </c>
      <c r="M9" s="62"/>
    </row>
    <row r="10" spans="2:13" ht="30" customHeight="1" x14ac:dyDescent="0.3">
      <c r="B10" s="70">
        <f>SALES_DASHBOARD!H6</f>
        <v>161</v>
      </c>
      <c r="C10" s="71"/>
      <c r="D10" s="66">
        <f>SALES_DASHBOARD!J6</f>
        <v>806.86956521739125</v>
      </c>
      <c r="E10" s="67"/>
      <c r="F10" s="66">
        <f>CRM!D5</f>
        <v>103900</v>
      </c>
      <c r="G10" s="67"/>
      <c r="H10" s="75">
        <f>IF(CRM!O14=0,"N/A / Requires Data",CRM!O12/CRM!O14)</f>
        <v>0.5714285714285714</v>
      </c>
      <c r="I10" s="76"/>
      <c r="J10" s="75">
        <f>IF(B6=0,"N/A / Requires Data",D6/B6)</f>
        <v>0.86782750604283099</v>
      </c>
      <c r="K10" s="76"/>
      <c r="L10" s="66">
        <f>INVOICES!H5</f>
        <v>12860</v>
      </c>
      <c r="M10" s="67"/>
    </row>
    <row r="11" spans="2:13" ht="16.05" customHeight="1" x14ac:dyDescent="0.3">
      <c r="B11" s="59" t="s">
        <v>647</v>
      </c>
      <c r="C11" s="60"/>
      <c r="D11" s="59" t="s">
        <v>648</v>
      </c>
      <c r="E11" s="60"/>
      <c r="F11" s="59" t="s">
        <v>649</v>
      </c>
      <c r="G11" s="60"/>
      <c r="H11" s="59" t="s">
        <v>650</v>
      </c>
      <c r="I11" s="60"/>
      <c r="J11" s="59" t="s">
        <v>651</v>
      </c>
      <c r="K11" s="60"/>
      <c r="L11" s="59" t="s">
        <v>652</v>
      </c>
      <c r="M11" s="60"/>
    </row>
    <row r="12" spans="2:13" ht="7.95" customHeight="1" x14ac:dyDescent="0.3"/>
    <row r="13" spans="2:13" ht="19.95" customHeight="1" x14ac:dyDescent="0.3">
      <c r="B13" s="46" t="s">
        <v>653</v>
      </c>
      <c r="C13" s="46"/>
      <c r="D13" s="46"/>
      <c r="E13" s="46"/>
      <c r="F13" s="46"/>
      <c r="G13" s="46"/>
      <c r="H13" s="46"/>
      <c r="I13" s="46"/>
      <c r="J13" s="46"/>
      <c r="K13" s="46"/>
      <c r="L13" s="46"/>
      <c r="M13" s="46"/>
    </row>
    <row r="14" spans="2:13" ht="19.95" customHeight="1" x14ac:dyDescent="0.3">
      <c r="B14" s="68" t="s">
        <v>99</v>
      </c>
      <c r="C14" s="68"/>
      <c r="D14" s="4" t="s">
        <v>107</v>
      </c>
      <c r="E14" s="4" t="s">
        <v>132</v>
      </c>
      <c r="F14" s="4" t="s">
        <v>654</v>
      </c>
      <c r="G14" s="4" t="s">
        <v>655</v>
      </c>
    </row>
    <row r="15" spans="2:13" ht="14.4" x14ac:dyDescent="0.3">
      <c r="B15" s="58">
        <f>SALES_DASHBOARD!B11</f>
        <v>45931</v>
      </c>
      <c r="C15" s="58"/>
      <c r="D15" s="11">
        <f>SALES_DASHBOARD!E11</f>
        <v>6790</v>
      </c>
      <c r="E15" s="11">
        <f>EXPENSES!L21</f>
        <v>7768.02</v>
      </c>
      <c r="F15" s="31">
        <f t="shared" ref="F15:F26" si="0">D15-E15</f>
        <v>-978.02000000000044</v>
      </c>
      <c r="G15" s="16">
        <f t="shared" ref="G15:G27" si="1">IF(D15=0,"N/A",F15/D15)</f>
        <v>-0.14403829160530199</v>
      </c>
    </row>
    <row r="16" spans="2:13" ht="14.4" x14ac:dyDescent="0.3">
      <c r="B16" s="58">
        <f>SALES_DASHBOARD!B12</f>
        <v>45962</v>
      </c>
      <c r="C16" s="58"/>
      <c r="D16" s="11">
        <f>SALES_DASHBOARD!E12</f>
        <v>6703</v>
      </c>
      <c r="E16" s="11">
        <f>EXPENSES!L22</f>
        <v>7155.12</v>
      </c>
      <c r="F16" s="31">
        <f t="shared" si="0"/>
        <v>-452.11999999999989</v>
      </c>
      <c r="G16" s="16">
        <f t="shared" si="1"/>
        <v>-6.7450395345367731E-2</v>
      </c>
    </row>
    <row r="17" spans="2:13" ht="14.4" x14ac:dyDescent="0.3">
      <c r="B17" s="58">
        <f>SALES_DASHBOARD!B13</f>
        <v>45992</v>
      </c>
      <c r="C17" s="58"/>
      <c r="D17" s="11">
        <f>SALES_DASHBOARD!E13</f>
        <v>11688</v>
      </c>
      <c r="E17" s="11">
        <f>EXPENSES!L23</f>
        <v>9389.9199999999983</v>
      </c>
      <c r="F17" s="31">
        <f t="shared" si="0"/>
        <v>2298.0800000000017</v>
      </c>
      <c r="G17" s="16">
        <f t="shared" si="1"/>
        <v>0.19661875427789199</v>
      </c>
    </row>
    <row r="18" spans="2:13" ht="14.4" x14ac:dyDescent="0.3">
      <c r="B18" s="58">
        <f>SALES_DASHBOARD!B14</f>
        <v>46023</v>
      </c>
      <c r="C18" s="58"/>
      <c r="D18" s="11">
        <f>SALES_DASHBOARD!E14</f>
        <v>7783</v>
      </c>
      <c r="E18" s="11">
        <f>EXPENSES!L24</f>
        <v>7362.17</v>
      </c>
      <c r="F18" s="31">
        <f t="shared" si="0"/>
        <v>420.82999999999993</v>
      </c>
      <c r="G18" s="16">
        <f t="shared" si="1"/>
        <v>5.4070409867660277E-2</v>
      </c>
    </row>
    <row r="19" spans="2:13" ht="14.4" x14ac:dyDescent="0.3">
      <c r="B19" s="58">
        <f>SALES_DASHBOARD!B15</f>
        <v>46054</v>
      </c>
      <c r="C19" s="58"/>
      <c r="D19" s="11">
        <f>SALES_DASHBOARD!E15</f>
        <v>8114</v>
      </c>
      <c r="E19" s="11">
        <f>EXPENSES!L25</f>
        <v>8305.57</v>
      </c>
      <c r="F19" s="31">
        <f t="shared" si="0"/>
        <v>-191.56999999999971</v>
      </c>
      <c r="G19" s="16">
        <f t="shared" si="1"/>
        <v>-2.3609810204584632E-2</v>
      </c>
    </row>
    <row r="20" spans="2:13" ht="14.4" x14ac:dyDescent="0.3">
      <c r="B20" s="58">
        <f>SALES_DASHBOARD!B16</f>
        <v>46082</v>
      </c>
      <c r="C20" s="58"/>
      <c r="D20" s="11">
        <f>SALES_DASHBOARD!E16</f>
        <v>13187</v>
      </c>
      <c r="E20" s="11">
        <f>EXPENSES!L26</f>
        <v>9134.369999999999</v>
      </c>
      <c r="F20" s="31">
        <f t="shared" si="0"/>
        <v>4052.630000000001</v>
      </c>
      <c r="G20" s="16">
        <f t="shared" si="1"/>
        <v>0.30732008796542054</v>
      </c>
    </row>
    <row r="21" spans="2:13" ht="14.4" x14ac:dyDescent="0.3">
      <c r="B21" s="58">
        <f>SALES_DASHBOARD!B17</f>
        <v>46113</v>
      </c>
      <c r="C21" s="58"/>
      <c r="D21" s="11">
        <f>SALES_DASHBOARD!E17</f>
        <v>6927</v>
      </c>
      <c r="E21" s="11">
        <f>EXPENSES!L27</f>
        <v>7384.89</v>
      </c>
      <c r="F21" s="31">
        <f t="shared" si="0"/>
        <v>-457.89000000000033</v>
      </c>
      <c r="G21" s="16">
        <f t="shared" si="1"/>
        <v>-6.6102208748375968E-2</v>
      </c>
    </row>
    <row r="22" spans="2:13" ht="14.4" x14ac:dyDescent="0.3">
      <c r="B22" s="58">
        <f>SALES_DASHBOARD!B18</f>
        <v>46143</v>
      </c>
      <c r="C22" s="58"/>
      <c r="D22" s="11">
        <f>SALES_DASHBOARD!E18</f>
        <v>9404</v>
      </c>
      <c r="E22" s="11">
        <f>EXPENSES!L28</f>
        <v>7526.6100000000006</v>
      </c>
      <c r="F22" s="31">
        <f t="shared" si="0"/>
        <v>1877.3899999999994</v>
      </c>
      <c r="G22" s="16">
        <f t="shared" si="1"/>
        <v>0.19963738834538489</v>
      </c>
    </row>
    <row r="23" spans="2:13" ht="14.4" x14ac:dyDescent="0.3">
      <c r="B23" s="58">
        <f>SALES_DASHBOARD!B19</f>
        <v>46174</v>
      </c>
      <c r="C23" s="58"/>
      <c r="D23" s="11">
        <f>SALES_DASHBOARD!E19</f>
        <v>18547</v>
      </c>
      <c r="E23" s="11">
        <f>EXPENSES!L29</f>
        <v>8951.7000000000007</v>
      </c>
      <c r="F23" s="31">
        <f t="shared" si="0"/>
        <v>9595.2999999999993</v>
      </c>
      <c r="G23" s="16">
        <f t="shared" si="1"/>
        <v>0.51735051490807138</v>
      </c>
    </row>
    <row r="24" spans="2:13" ht="14.4" x14ac:dyDescent="0.3">
      <c r="B24" s="58">
        <f>SALES_DASHBOARD!B20</f>
        <v>46204</v>
      </c>
      <c r="C24" s="58"/>
      <c r="D24" s="11">
        <f>SALES_DASHBOARD!E20</f>
        <v>12099</v>
      </c>
      <c r="E24" s="11">
        <f>EXPENSES!L30</f>
        <v>7528.57</v>
      </c>
      <c r="F24" s="31">
        <f t="shared" si="0"/>
        <v>4570.43</v>
      </c>
      <c r="G24" s="16">
        <f t="shared" si="1"/>
        <v>0.37775270683527568</v>
      </c>
    </row>
    <row r="25" spans="2:13" ht="14.4" x14ac:dyDescent="0.3">
      <c r="B25" s="58">
        <f>SALES_DASHBOARD!B21</f>
        <v>46235</v>
      </c>
      <c r="C25" s="58"/>
      <c r="D25" s="11">
        <f>SALES_DASHBOARD!E21</f>
        <v>12754</v>
      </c>
      <c r="E25" s="11">
        <f>EXPENSES!L31</f>
        <v>7448.35</v>
      </c>
      <c r="F25" s="31">
        <f t="shared" si="0"/>
        <v>5305.65</v>
      </c>
      <c r="G25" s="16">
        <f t="shared" si="1"/>
        <v>0.41599890230515912</v>
      </c>
    </row>
    <row r="26" spans="2:13" ht="14.4" x14ac:dyDescent="0.3">
      <c r="B26" s="58">
        <f>SALES_DASHBOARD!B22</f>
        <v>46266</v>
      </c>
      <c r="C26" s="58"/>
      <c r="D26" s="11">
        <f>SALES_DASHBOARD!E22</f>
        <v>15910</v>
      </c>
      <c r="E26" s="11">
        <f>EXPENSES!L32</f>
        <v>8408.619999999999</v>
      </c>
      <c r="F26" s="31">
        <f t="shared" si="0"/>
        <v>7501.380000000001</v>
      </c>
      <c r="G26" s="16">
        <f t="shared" si="1"/>
        <v>0.4714883720930233</v>
      </c>
    </row>
    <row r="27" spans="2:13" ht="14.4" x14ac:dyDescent="0.3">
      <c r="B27" s="65" t="s">
        <v>104</v>
      </c>
      <c r="C27" s="65"/>
      <c r="D27" s="14">
        <f>SUM(D15:D26)</f>
        <v>129906</v>
      </c>
      <c r="E27" s="14">
        <f>SUM(E15:E26)</f>
        <v>96363.91</v>
      </c>
      <c r="F27" s="32">
        <f>SUM(F15:F26)</f>
        <v>33542.089999999997</v>
      </c>
      <c r="G27" s="17">
        <f t="shared" si="1"/>
        <v>0.25820277739288405</v>
      </c>
    </row>
    <row r="29" spans="2:13" ht="19.95" customHeight="1" x14ac:dyDescent="0.3">
      <c r="B29" s="46" t="s">
        <v>656</v>
      </c>
      <c r="C29" s="46"/>
      <c r="D29" s="46"/>
      <c r="E29" s="46"/>
      <c r="F29" s="46"/>
      <c r="G29" s="46"/>
      <c r="H29" s="46"/>
      <c r="I29" s="46"/>
      <c r="J29" s="46"/>
      <c r="K29" s="46"/>
      <c r="L29" s="46"/>
      <c r="M29" s="46"/>
    </row>
    <row r="30" spans="2:13" ht="19.95" customHeight="1" x14ac:dyDescent="0.3">
      <c r="B30" s="68" t="s">
        <v>657</v>
      </c>
      <c r="C30" s="68"/>
      <c r="D30" s="55" t="s">
        <v>658</v>
      </c>
      <c r="E30" s="55"/>
      <c r="F30" s="55" t="s">
        <v>659</v>
      </c>
      <c r="G30" s="55"/>
      <c r="H30" s="55"/>
      <c r="I30" s="55"/>
      <c r="J30" s="55"/>
      <c r="K30" s="55" t="s">
        <v>660</v>
      </c>
      <c r="L30" s="55"/>
      <c r="M30" s="4" t="s">
        <v>661</v>
      </c>
    </row>
    <row r="31" spans="2:13" ht="33" customHeight="1" x14ac:dyDescent="0.3">
      <c r="B31" s="77" t="s">
        <v>107</v>
      </c>
      <c r="C31" s="77"/>
      <c r="D31" s="80">
        <f>B6</f>
        <v>129906</v>
      </c>
      <c r="E31" s="80"/>
      <c r="F31" s="81" t="s">
        <v>662</v>
      </c>
      <c r="G31" s="81"/>
      <c r="H31" s="81"/>
      <c r="I31" s="81"/>
      <c r="J31" s="81"/>
      <c r="K31" s="78" t="s">
        <v>663</v>
      </c>
      <c r="L31" s="78"/>
      <c r="M31" s="33" t="s">
        <v>664</v>
      </c>
    </row>
    <row r="32" spans="2:13" ht="33" customHeight="1" x14ac:dyDescent="0.3">
      <c r="B32" s="77" t="s">
        <v>665</v>
      </c>
      <c r="C32" s="77"/>
      <c r="D32" s="80">
        <f>D6</f>
        <v>112736</v>
      </c>
      <c r="E32" s="80"/>
      <c r="F32" s="81" t="s">
        <v>666</v>
      </c>
      <c r="G32" s="81"/>
      <c r="H32" s="81"/>
      <c r="I32" s="81"/>
      <c r="J32" s="81"/>
      <c r="K32" s="78" t="s">
        <v>663</v>
      </c>
      <c r="L32" s="78"/>
      <c r="M32" s="33" t="s">
        <v>664</v>
      </c>
    </row>
    <row r="33" spans="2:13" ht="33" customHeight="1" x14ac:dyDescent="0.3">
      <c r="B33" s="77" t="s">
        <v>667</v>
      </c>
      <c r="C33" s="77"/>
      <c r="D33" s="80">
        <f>F6</f>
        <v>17170</v>
      </c>
      <c r="E33" s="80"/>
      <c r="F33" s="81" t="s">
        <v>668</v>
      </c>
      <c r="G33" s="81"/>
      <c r="H33" s="81"/>
      <c r="I33" s="81"/>
      <c r="J33" s="81"/>
      <c r="K33" s="78" t="s">
        <v>663</v>
      </c>
      <c r="L33" s="78"/>
      <c r="M33" s="33" t="s">
        <v>664</v>
      </c>
    </row>
    <row r="34" spans="2:13" ht="30" customHeight="1" x14ac:dyDescent="0.3">
      <c r="B34" s="77" t="s">
        <v>132</v>
      </c>
      <c r="C34" s="77"/>
      <c r="D34" s="80">
        <f>H6</f>
        <v>96363.90999999996</v>
      </c>
      <c r="E34" s="80"/>
      <c r="F34" s="81" t="s">
        <v>669</v>
      </c>
      <c r="G34" s="81"/>
      <c r="H34" s="81"/>
      <c r="I34" s="81"/>
      <c r="J34" s="81"/>
      <c r="K34" s="78" t="s">
        <v>670</v>
      </c>
      <c r="L34" s="78"/>
      <c r="M34" s="33" t="s">
        <v>664</v>
      </c>
    </row>
    <row r="35" spans="2:13" ht="33" customHeight="1" x14ac:dyDescent="0.3">
      <c r="B35" s="77" t="s">
        <v>671</v>
      </c>
      <c r="C35" s="77"/>
      <c r="D35" s="80">
        <f>J6</f>
        <v>33542.09000000004</v>
      </c>
      <c r="E35" s="80"/>
      <c r="F35" s="81" t="s">
        <v>672</v>
      </c>
      <c r="G35" s="81"/>
      <c r="H35" s="81"/>
      <c r="I35" s="81"/>
      <c r="J35" s="81"/>
      <c r="K35" s="78" t="s">
        <v>673</v>
      </c>
      <c r="L35" s="78"/>
      <c r="M35" s="34" t="s">
        <v>674</v>
      </c>
    </row>
    <row r="36" spans="2:13" ht="33" customHeight="1" x14ac:dyDescent="0.3">
      <c r="B36" s="77" t="s">
        <v>655</v>
      </c>
      <c r="C36" s="77"/>
      <c r="D36" s="79">
        <f>L6</f>
        <v>0.25820277739288439</v>
      </c>
      <c r="E36" s="79"/>
      <c r="F36" s="81" t="s">
        <v>675</v>
      </c>
      <c r="G36" s="81"/>
      <c r="H36" s="81"/>
      <c r="I36" s="81"/>
      <c r="J36" s="81"/>
      <c r="K36" s="78" t="s">
        <v>676</v>
      </c>
      <c r="L36" s="78"/>
      <c r="M36" s="34" t="s">
        <v>674</v>
      </c>
    </row>
    <row r="37" spans="2:13" ht="30" customHeight="1" x14ac:dyDescent="0.3">
      <c r="B37" s="77" t="s">
        <v>100</v>
      </c>
      <c r="C37" s="77"/>
      <c r="D37" s="84">
        <f>B10</f>
        <v>161</v>
      </c>
      <c r="E37" s="84"/>
      <c r="F37" s="81" t="s">
        <v>677</v>
      </c>
      <c r="G37" s="81"/>
      <c r="H37" s="81"/>
      <c r="I37" s="81"/>
      <c r="J37" s="81"/>
      <c r="K37" s="78" t="s">
        <v>663</v>
      </c>
      <c r="L37" s="78"/>
      <c r="M37" s="33" t="s">
        <v>664</v>
      </c>
    </row>
    <row r="38" spans="2:13" ht="30" customHeight="1" x14ac:dyDescent="0.3">
      <c r="B38" s="77" t="s">
        <v>678</v>
      </c>
      <c r="C38" s="77"/>
      <c r="D38" s="80">
        <f>D10</f>
        <v>806.86956521739125</v>
      </c>
      <c r="E38" s="80"/>
      <c r="F38" s="81" t="s">
        <v>679</v>
      </c>
      <c r="G38" s="81"/>
      <c r="H38" s="81"/>
      <c r="I38" s="81"/>
      <c r="J38" s="81"/>
      <c r="K38" s="78" t="s">
        <v>676</v>
      </c>
      <c r="L38" s="78"/>
      <c r="M38" s="34" t="s">
        <v>674</v>
      </c>
    </row>
    <row r="39" spans="2:13" ht="33" customHeight="1" x14ac:dyDescent="0.3">
      <c r="B39" s="77" t="s">
        <v>680</v>
      </c>
      <c r="C39" s="77"/>
      <c r="D39" s="80">
        <f>F10</f>
        <v>103900</v>
      </c>
      <c r="E39" s="80"/>
      <c r="F39" s="81" t="s">
        <v>681</v>
      </c>
      <c r="G39" s="81"/>
      <c r="H39" s="81"/>
      <c r="I39" s="81"/>
      <c r="J39" s="81"/>
      <c r="K39" s="78" t="s">
        <v>682</v>
      </c>
      <c r="L39" s="78"/>
      <c r="M39" s="33" t="s">
        <v>664</v>
      </c>
    </row>
    <row r="40" spans="2:13" ht="45.45" customHeight="1" x14ac:dyDescent="0.3">
      <c r="B40" s="77" t="s">
        <v>683</v>
      </c>
      <c r="C40" s="77"/>
      <c r="D40" s="79">
        <f>H10</f>
        <v>0.5714285714285714</v>
      </c>
      <c r="E40" s="79"/>
      <c r="F40" s="81" t="s">
        <v>684</v>
      </c>
      <c r="G40" s="81"/>
      <c r="H40" s="81"/>
      <c r="I40" s="81"/>
      <c r="J40" s="81"/>
      <c r="K40" s="78" t="s">
        <v>682</v>
      </c>
      <c r="L40" s="78"/>
      <c r="M40" s="34" t="s">
        <v>674</v>
      </c>
    </row>
    <row r="41" spans="2:13" ht="33" customHeight="1" x14ac:dyDescent="0.3">
      <c r="B41" s="77" t="s">
        <v>685</v>
      </c>
      <c r="C41" s="77"/>
      <c r="D41" s="79">
        <f>J10</f>
        <v>0.86782750604283099</v>
      </c>
      <c r="E41" s="79"/>
      <c r="F41" s="81" t="s">
        <v>686</v>
      </c>
      <c r="G41" s="81"/>
      <c r="H41" s="81"/>
      <c r="I41" s="81"/>
      <c r="J41" s="81"/>
      <c r="K41" s="78" t="s">
        <v>676</v>
      </c>
      <c r="L41" s="78"/>
      <c r="M41" s="34" t="s">
        <v>674</v>
      </c>
    </row>
    <row r="42" spans="2:13" ht="33" customHeight="1" x14ac:dyDescent="0.3">
      <c r="B42" s="77" t="s">
        <v>687</v>
      </c>
      <c r="C42" s="77"/>
      <c r="D42" s="80">
        <f>L10</f>
        <v>12860</v>
      </c>
      <c r="E42" s="80"/>
      <c r="F42" s="81" t="s">
        <v>688</v>
      </c>
      <c r="G42" s="81"/>
      <c r="H42" s="81"/>
      <c r="I42" s="81"/>
      <c r="J42" s="81"/>
      <c r="K42" s="78" t="s">
        <v>689</v>
      </c>
      <c r="L42" s="78"/>
      <c r="M42" s="33" t="s">
        <v>664</v>
      </c>
    </row>
    <row r="43" spans="2:13" ht="25.95" customHeight="1" x14ac:dyDescent="0.3">
      <c r="B43" s="82" t="s">
        <v>690</v>
      </c>
      <c r="C43" s="82"/>
      <c r="D43" s="82"/>
      <c r="E43" s="82"/>
      <c r="F43" s="82"/>
      <c r="G43" s="82"/>
      <c r="H43" s="82"/>
      <c r="I43" s="82"/>
      <c r="J43" s="82"/>
      <c r="K43" s="82"/>
      <c r="L43" s="82"/>
      <c r="M43" s="82"/>
    </row>
    <row r="45" spans="2:13" ht="19.95" customHeight="1" x14ac:dyDescent="0.3">
      <c r="B45" s="46" t="s">
        <v>691</v>
      </c>
      <c r="C45" s="46"/>
      <c r="D45" s="46"/>
      <c r="E45" s="46"/>
      <c r="F45" s="46"/>
      <c r="G45" s="46"/>
      <c r="H45" s="46"/>
      <c r="I45" s="46"/>
      <c r="J45" s="46"/>
      <c r="K45" s="46"/>
      <c r="L45" s="46"/>
      <c r="M45" s="46"/>
    </row>
    <row r="62" spans="2:13" ht="19.95" customHeight="1" x14ac:dyDescent="0.3">
      <c r="B62" s="46" t="s">
        <v>692</v>
      </c>
      <c r="C62" s="46"/>
      <c r="D62" s="46"/>
      <c r="E62" s="46"/>
      <c r="F62" s="46"/>
      <c r="G62" s="46"/>
      <c r="H62" s="46"/>
      <c r="I62" s="46"/>
      <c r="J62" s="46"/>
      <c r="K62" s="46"/>
      <c r="L62" s="46"/>
      <c r="M62" s="46"/>
    </row>
    <row r="63" spans="2:13" ht="14.4" x14ac:dyDescent="0.3">
      <c r="B63" s="77" t="s">
        <v>693</v>
      </c>
      <c r="C63" s="77"/>
      <c r="D63" s="77"/>
      <c r="E63" s="77"/>
      <c r="F63" s="35" t="str">
        <f>IF(ABS(B6-(D6+F6))&lt;0.005,"OK","Check")</f>
        <v>OK</v>
      </c>
      <c r="G63" s="83" t="s">
        <v>694</v>
      </c>
      <c r="H63" s="83"/>
      <c r="I63" s="83"/>
      <c r="J63" s="83"/>
      <c r="K63" s="83"/>
      <c r="L63" s="83"/>
      <c r="M63" s="83"/>
    </row>
    <row r="64" spans="2:13" ht="14.4" x14ac:dyDescent="0.3">
      <c r="B64" s="77" t="s">
        <v>695</v>
      </c>
      <c r="C64" s="77"/>
      <c r="D64" s="77"/>
      <c r="E64" s="77"/>
      <c r="F64" s="35" t="str">
        <f>IF(ABS(SALES_DASHBOARD!E23-B6)&lt;0.005,"OK","Check")</f>
        <v>OK</v>
      </c>
      <c r="G64" s="83" t="s">
        <v>696</v>
      </c>
      <c r="H64" s="83"/>
      <c r="I64" s="83"/>
      <c r="J64" s="83"/>
      <c r="K64" s="83"/>
      <c r="L64" s="83"/>
      <c r="M64" s="83"/>
    </row>
    <row r="65" spans="2:13" ht="14.4" x14ac:dyDescent="0.3">
      <c r="B65" s="77" t="s">
        <v>697</v>
      </c>
      <c r="C65" s="77"/>
      <c r="D65" s="77"/>
      <c r="E65" s="77"/>
      <c r="F65" s="35" t="str">
        <f>IF(ABS(EXPENSES!L33-H6)&lt;0.005,"OK","Check")</f>
        <v>OK</v>
      </c>
      <c r="G65" s="83" t="s">
        <v>698</v>
      </c>
      <c r="H65" s="83"/>
      <c r="I65" s="83"/>
      <c r="J65" s="83"/>
      <c r="K65" s="83"/>
      <c r="L65" s="83"/>
      <c r="M65" s="83"/>
    </row>
    <row r="66" spans="2:13" ht="14.4" x14ac:dyDescent="0.3">
      <c r="B66" s="77" t="s">
        <v>699</v>
      </c>
      <c r="C66" s="77"/>
      <c r="D66" s="77"/>
      <c r="E66" s="77"/>
      <c r="F66" s="35" t="str">
        <f>IF(INVOICES!H5&lt;=INVOICES!F5,"OK","Check")</f>
        <v>OK</v>
      </c>
      <c r="G66" s="83" t="s">
        <v>700</v>
      </c>
      <c r="H66" s="83"/>
      <c r="I66" s="83"/>
      <c r="J66" s="83"/>
      <c r="K66" s="83"/>
      <c r="L66" s="83"/>
      <c r="M66" s="83"/>
    </row>
  </sheetData>
  <mergeCells count="117">
    <mergeCell ref="B3:M3"/>
    <mergeCell ref="K38:L38"/>
    <mergeCell ref="B36:C36"/>
    <mergeCell ref="G66:M66"/>
    <mergeCell ref="L9:M9"/>
    <mergeCell ref="B30:C30"/>
    <mergeCell ref="D30:E30"/>
    <mergeCell ref="F37:J37"/>
    <mergeCell ref="B5:C5"/>
    <mergeCell ref="B20:C20"/>
    <mergeCell ref="D5:E5"/>
    <mergeCell ref="L11:M11"/>
    <mergeCell ref="F11:G11"/>
    <mergeCell ref="K34:L34"/>
    <mergeCell ref="J5:K5"/>
    <mergeCell ref="F34:J34"/>
    <mergeCell ref="D40:E40"/>
    <mergeCell ref="K36:L36"/>
    <mergeCell ref="B29:M29"/>
    <mergeCell ref="B39:C39"/>
    <mergeCell ref="F30:J30"/>
    <mergeCell ref="H6:I6"/>
    <mergeCell ref="J6:K6"/>
    <mergeCell ref="B23:C23"/>
    <mergeCell ref="F42:J42"/>
    <mergeCell ref="D32:E32"/>
    <mergeCell ref="D41:E41"/>
    <mergeCell ref="B66:E66"/>
    <mergeCell ref="H11:I11"/>
    <mergeCell ref="J11:K11"/>
    <mergeCell ref="B37:C37"/>
    <mergeCell ref="B45:M45"/>
    <mergeCell ref="D37:E37"/>
    <mergeCell ref="D9:E9"/>
    <mergeCell ref="F9:G9"/>
    <mergeCell ref="D39:E39"/>
    <mergeCell ref="B62:M62"/>
    <mergeCell ref="B15:C15"/>
    <mergeCell ref="D38:E38"/>
    <mergeCell ref="G64:M64"/>
    <mergeCell ref="B13:M13"/>
    <mergeCell ref="G63:M63"/>
    <mergeCell ref="F40:J40"/>
    <mergeCell ref="B42:C42"/>
    <mergeCell ref="K31:L31"/>
    <mergeCell ref="B17:C17"/>
    <mergeCell ref="F32:J32"/>
    <mergeCell ref="K40:L40"/>
    <mergeCell ref="B19:C19"/>
    <mergeCell ref="B34:C34"/>
    <mergeCell ref="L10:M10"/>
    <mergeCell ref="F6:G6"/>
    <mergeCell ref="B18:C18"/>
    <mergeCell ref="B27:C27"/>
    <mergeCell ref="B63:E63"/>
    <mergeCell ref="B11:C11"/>
    <mergeCell ref="D11:E11"/>
    <mergeCell ref="F5:G5"/>
    <mergeCell ref="K32:L32"/>
    <mergeCell ref="K41:L41"/>
    <mergeCell ref="F41:J41"/>
    <mergeCell ref="F35:J35"/>
    <mergeCell ref="B6:C6"/>
    <mergeCell ref="L6:M6"/>
    <mergeCell ref="H5:I5"/>
    <mergeCell ref="B7:C7"/>
    <mergeCell ref="F7:G7"/>
    <mergeCell ref="F38:J38"/>
    <mergeCell ref="B9:C9"/>
    <mergeCell ref="H7:I7"/>
    <mergeCell ref="J7:K7"/>
    <mergeCell ref="B10:C10"/>
    <mergeCell ref="K39:L39"/>
    <mergeCell ref="D42:E42"/>
    <mergeCell ref="G65:M65"/>
    <mergeCell ref="K30:L30"/>
    <mergeCell ref="B16:C16"/>
    <mergeCell ref="L7:M7"/>
    <mergeCell ref="D10:E10"/>
    <mergeCell ref="B25:C25"/>
    <mergeCell ref="F10:G10"/>
    <mergeCell ref="D34:E34"/>
    <mergeCell ref="B64:E64"/>
    <mergeCell ref="F39:J39"/>
    <mergeCell ref="B33:C33"/>
    <mergeCell ref="D33:E33"/>
    <mergeCell ref="K37:L37"/>
    <mergeCell ref="B32:C32"/>
    <mergeCell ref="B26:C26"/>
    <mergeCell ref="B41:C41"/>
    <mergeCell ref="B35:C35"/>
    <mergeCell ref="B43:M43"/>
    <mergeCell ref="D35:E35"/>
    <mergeCell ref="B2:M2"/>
    <mergeCell ref="B65:E65"/>
    <mergeCell ref="H10:I10"/>
    <mergeCell ref="J10:K10"/>
    <mergeCell ref="K33:L33"/>
    <mergeCell ref="B22:C22"/>
    <mergeCell ref="B31:C31"/>
    <mergeCell ref="D36:E36"/>
    <mergeCell ref="D31:E31"/>
    <mergeCell ref="H9:I9"/>
    <mergeCell ref="J9:K9"/>
    <mergeCell ref="D6:E6"/>
    <mergeCell ref="K35:L35"/>
    <mergeCell ref="B21:C21"/>
    <mergeCell ref="F36:J36"/>
    <mergeCell ref="B14:C14"/>
    <mergeCell ref="F33:J33"/>
    <mergeCell ref="L5:M5"/>
    <mergeCell ref="B38:C38"/>
    <mergeCell ref="D7:E7"/>
    <mergeCell ref="K42:L42"/>
    <mergeCell ref="F31:J31"/>
    <mergeCell ref="B40:C40"/>
    <mergeCell ref="B24:C24"/>
  </mergeCells>
  <conditionalFormatting sqref="F63:F66">
    <cfRule type="cellIs" dxfId="8" priority="1" operator="equal">
      <formula>"Check"</formula>
    </cfRule>
    <cfRule type="cellIs" dxfId="7" priority="2" operator="equal">
      <formula>"OK"</formula>
    </cfRule>
  </conditionalFormatting>
  <printOptions horizontalCentered="1"/>
  <pageMargins left="0.4" right="0.4" top="0.5" bottom="0.5" header="0.5" footer="0.5"/>
  <pageSetup fitToHeight="0"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A9D8F"/>
    <pageSetUpPr fitToPage="1"/>
  </sheetPr>
  <dimension ref="B1:O61"/>
  <sheetViews>
    <sheetView showGridLines="0" workbookViewId="0">
      <pane ySplit="8" topLeftCell="A9" activePane="bottomLeft" state="frozen"/>
      <selection pane="bottomLeft"/>
    </sheetView>
  </sheetViews>
  <sheetFormatPr defaultRowHeight="16.05" customHeight="1" x14ac:dyDescent="0.3"/>
  <cols>
    <col min="1" max="1" width="2" customWidth="1"/>
    <col min="2" max="2" width="24" customWidth="1"/>
    <col min="3" max="3" width="40" customWidth="1"/>
    <col min="4" max="4" width="22" customWidth="1"/>
    <col min="5" max="6" width="24" customWidth="1"/>
    <col min="7" max="7" width="40" customWidth="1"/>
    <col min="8" max="8" width="22" customWidth="1"/>
    <col min="9" max="9" width="20" customWidth="1"/>
    <col min="10" max="10" width="38" customWidth="1"/>
    <col min="11" max="11" width="16" customWidth="1"/>
    <col min="12" max="12" width="15" customWidth="1"/>
    <col min="13" max="13" width="3" customWidth="1"/>
    <col min="14" max="14" width="26" customWidth="1"/>
    <col min="15" max="15" width="22" customWidth="1"/>
  </cols>
  <sheetData>
    <row r="1" spans="2:15" ht="34.049999999999997" customHeight="1" x14ac:dyDescent="0.3">
      <c r="B1" s="53" t="s">
        <v>701</v>
      </c>
      <c r="C1" s="53"/>
      <c r="D1" s="53"/>
      <c r="E1" s="53"/>
      <c r="F1" s="53"/>
      <c r="G1" s="53"/>
      <c r="H1" s="53"/>
      <c r="I1" s="53"/>
      <c r="J1" s="53"/>
      <c r="K1" s="53"/>
      <c r="L1" s="53"/>
      <c r="M1" s="53"/>
      <c r="N1" s="53"/>
      <c r="O1" s="53"/>
    </row>
    <row r="2" spans="2:15" ht="22.05" customHeight="1" x14ac:dyDescent="0.3">
      <c r="B2" s="51" t="s">
        <v>702</v>
      </c>
      <c r="C2" s="51"/>
      <c r="D2" s="51"/>
      <c r="E2" s="51"/>
      <c r="F2" s="51"/>
      <c r="G2" s="51"/>
      <c r="H2" s="51"/>
      <c r="I2" s="51"/>
      <c r="J2" s="51"/>
      <c r="K2" s="51"/>
      <c r="L2" s="51"/>
      <c r="M2" s="51"/>
      <c r="N2" s="51"/>
      <c r="O2" s="51"/>
    </row>
    <row r="3" spans="2:15" ht="6" customHeight="1" x14ac:dyDescent="0.3"/>
    <row r="4" spans="2:15" ht="18" customHeight="1" x14ac:dyDescent="0.3">
      <c r="B4" s="61" t="s">
        <v>703</v>
      </c>
      <c r="C4" s="62"/>
      <c r="D4" s="61" t="s">
        <v>704</v>
      </c>
      <c r="E4" s="62"/>
      <c r="F4" s="61" t="s">
        <v>705</v>
      </c>
      <c r="G4" s="62"/>
      <c r="H4" s="61" t="s">
        <v>706</v>
      </c>
      <c r="I4" s="62"/>
    </row>
    <row r="5" spans="2:15" ht="30" customHeight="1" x14ac:dyDescent="0.3">
      <c r="B5" s="70">
        <f>ROWS(tblCleaner[Raw Name])</f>
        <v>28</v>
      </c>
      <c r="C5" s="71"/>
      <c r="D5" s="70">
        <f>COUNTIF(tblCleaner[Missing Information Flag],"Complete")</f>
        <v>22</v>
      </c>
      <c r="E5" s="71"/>
      <c r="F5" s="70">
        <f>COUNTIF(tblCleaner[Duplicate Email Flag],"Duplicate")</f>
        <v>4</v>
      </c>
      <c r="G5" s="71"/>
      <c r="H5" s="70">
        <f>COUNTIF(tblCleaner[Email Format Check],"Check")</f>
        <v>2</v>
      </c>
      <c r="I5" s="71"/>
    </row>
    <row r="6" spans="2:15" ht="16.05" customHeight="1" x14ac:dyDescent="0.3">
      <c r="B6" s="59" t="s">
        <v>141</v>
      </c>
      <c r="C6" s="60"/>
      <c r="D6" s="59" t="s">
        <v>707</v>
      </c>
      <c r="E6" s="60"/>
      <c r="F6" s="59" t="s">
        <v>708</v>
      </c>
      <c r="G6" s="60"/>
      <c r="H6" s="59" t="s">
        <v>709</v>
      </c>
      <c r="I6" s="60"/>
    </row>
    <row r="7" spans="2:15" ht="6" customHeight="1" x14ac:dyDescent="0.3">
      <c r="N7" s="85" t="s">
        <v>710</v>
      </c>
      <c r="O7" s="85"/>
    </row>
    <row r="8" spans="2:15" ht="30" customHeight="1" x14ac:dyDescent="0.3">
      <c r="B8" s="21" t="s">
        <v>711</v>
      </c>
      <c r="C8" s="21" t="s">
        <v>712</v>
      </c>
      <c r="D8" s="21" t="s">
        <v>713</v>
      </c>
      <c r="E8" s="21" t="s">
        <v>714</v>
      </c>
      <c r="F8" s="26" t="s">
        <v>715</v>
      </c>
      <c r="G8" s="26" t="s">
        <v>716</v>
      </c>
      <c r="H8" s="26" t="s">
        <v>717</v>
      </c>
      <c r="I8" s="26" t="s">
        <v>718</v>
      </c>
      <c r="J8" s="26" t="s">
        <v>719</v>
      </c>
      <c r="K8" s="26" t="s">
        <v>720</v>
      </c>
      <c r="L8" s="26" t="s">
        <v>721</v>
      </c>
      <c r="N8" s="21" t="s">
        <v>722</v>
      </c>
      <c r="O8" s="21" t="s">
        <v>723</v>
      </c>
    </row>
    <row r="9" spans="2:15" ht="14.4" x14ac:dyDescent="0.3">
      <c r="B9" s="36" t="s">
        <v>724</v>
      </c>
      <c r="C9" s="36" t="s">
        <v>725</v>
      </c>
      <c r="D9" s="36" t="s">
        <v>726</v>
      </c>
      <c r="E9" s="36" t="s">
        <v>727</v>
      </c>
      <c r="F9" s="37" t="str">
        <f>PROPER(TRIM(CLEAN(tblCleaner[[#This Row],[Raw Name]])))</f>
        <v>Maria Santos</v>
      </c>
      <c r="G9" s="37" t="str">
        <f>LOWER(TRIM(CLEAN(tblCleaner[[#This Row],[Raw Email]])))</f>
        <v>maria.santos@brightpathlogistics.example</v>
      </c>
      <c r="H9" s="37" t="str">
        <f>IF(TRIM(tblCleaner[[#This Row],[Raw Country]])="","",IFERROR(INDEX(tblCountryMap[Standard Name],MATCH(TRIM(tblCleaner[[#This Row],[Raw Country]]),tblCountryMap[Variation],0)),PROPER(TRIM(tblCleaner[[#This Row],[Raw Country]]))))</f>
        <v>United States</v>
      </c>
      <c r="I9" s="38" t="str">
        <f>IF(TRIM(tblCleaner[[#This Row],[Raw Phone]])="","",SUBSTITUTE(SUBSTITUTE(SUBSTITUTE(SUBSTITUTE(SUBSTITUTE(SUBSTITUTE(SUBSTITUTE(TRIM(tblCleaner[[#This Row],[Raw Phone]]),"(0)",""),"(",""),")",""),"-","")," ",""),".",""),"/",""))</f>
        <v>4155550142</v>
      </c>
      <c r="J9"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9" s="30" t="str">
        <f>IF(tblCleaner[[#This Row],[Normalized Email]]="","",IF(COUNTIF(tblCleaner[Normalized Email],tblCleaner[[#This Row],[Normalized Email]])&gt;1,"Duplicate","Unique"))</f>
        <v>Duplicate</v>
      </c>
      <c r="L9"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9" s="23" t="s">
        <v>728</v>
      </c>
      <c r="O9" s="23" t="s">
        <v>729</v>
      </c>
    </row>
    <row r="10" spans="2:15" ht="14.4" x14ac:dyDescent="0.3">
      <c r="B10" s="36" t="s">
        <v>730</v>
      </c>
      <c r="C10" s="36" t="s">
        <v>552</v>
      </c>
      <c r="D10" s="36" t="s">
        <v>731</v>
      </c>
      <c r="E10" s="36" t="s">
        <v>732</v>
      </c>
      <c r="F10" s="37" t="str">
        <f>PROPER(TRIM(CLEAN(tblCleaner[[#This Row],[Raw Name]])))</f>
        <v>Daniel Okafor</v>
      </c>
      <c r="G10" s="37" t="str">
        <f>LOWER(TRIM(CLEAN(tblCleaner[[#This Row],[Raw Email]])))</f>
        <v>daniel.okafor@harborpine.example</v>
      </c>
      <c r="H10" s="37" t="str">
        <f>IF(TRIM(tblCleaner[[#This Row],[Raw Country]])="","",IFERROR(INDEX(tblCountryMap[Standard Name],MATCH(TRIM(tblCleaner[[#This Row],[Raw Country]]),tblCountryMap[Variation],0)),PROPER(TRIM(tblCleaner[[#This Row],[Raw Country]]))))</f>
        <v>United States</v>
      </c>
      <c r="I10" s="38" t="str">
        <f>IF(TRIM(tblCleaner[[#This Row],[Raw Phone]])="","",SUBSTITUTE(SUBSTITUTE(SUBSTITUTE(SUBSTITUTE(SUBSTITUTE(SUBSTITUTE(SUBSTITUTE(TRIM(tblCleaner[[#This Row],[Raw Phone]]),"(0)",""),"(",""),")",""),"-","")," ",""),".",""),"/",""))</f>
        <v>4155550177</v>
      </c>
      <c r="J10"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10" s="30" t="str">
        <f>IF(tblCleaner[[#This Row],[Normalized Email]]="","",IF(COUNTIF(tblCleaner[Normalized Email],tblCleaner[[#This Row],[Normalized Email]])&gt;1,"Duplicate","Unique"))</f>
        <v>Unique</v>
      </c>
      <c r="L10"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10" s="23" t="s">
        <v>731</v>
      </c>
      <c r="O10" s="23" t="s">
        <v>729</v>
      </c>
    </row>
    <row r="11" spans="2:15" ht="14.4" x14ac:dyDescent="0.3">
      <c r="B11" s="36" t="s">
        <v>733</v>
      </c>
      <c r="C11" s="36" t="s">
        <v>734</v>
      </c>
      <c r="D11" s="36" t="s">
        <v>735</v>
      </c>
      <c r="E11" s="36" t="s">
        <v>736</v>
      </c>
      <c r="F11" s="37" t="str">
        <f>PROPER(TRIM(CLEAN(tblCleaner[[#This Row],[Raw Name]])))</f>
        <v>Priya Raman</v>
      </c>
      <c r="G11" s="37" t="str">
        <f>LOWER(TRIM(CLEAN(tblCleaner[[#This Row],[Raw Email]])))</f>
        <v>priya.raman@lumenanalytics.example</v>
      </c>
      <c r="H11" s="37" t="str">
        <f>IF(TRIM(tblCleaner[[#This Row],[Raw Country]])="","",IFERROR(INDEX(tblCountryMap[Standard Name],MATCH(TRIM(tblCleaner[[#This Row],[Raw Country]]),tblCountryMap[Variation],0)),PROPER(TRIM(tblCleaner[[#This Row],[Raw Country]]))))</f>
        <v>United Kingdom</v>
      </c>
      <c r="I11" s="38" t="str">
        <f>IF(TRIM(tblCleaner[[#This Row],[Raw Phone]])="","",SUBSTITUTE(SUBSTITUTE(SUBSTITUTE(SUBSTITUTE(SUBSTITUTE(SUBSTITUTE(SUBSTITUTE(TRIM(tblCleaner[[#This Row],[Raw Phone]]),"(0)",""),"(",""),")",""),"-","")," ",""),".",""),"/",""))</f>
        <v>+442079460311</v>
      </c>
      <c r="J11"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11" s="30" t="str">
        <f>IF(tblCleaner[[#This Row],[Normalized Email]]="","",IF(COUNTIF(tblCleaner[Normalized Email],tblCleaner[[#This Row],[Normalized Email]])&gt;1,"Duplicate","Unique"))</f>
        <v>Duplicate</v>
      </c>
      <c r="L11"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11" s="23" t="s">
        <v>737</v>
      </c>
      <c r="O11" s="23" t="s">
        <v>729</v>
      </c>
    </row>
    <row r="12" spans="2:15" ht="14.4" x14ac:dyDescent="0.3">
      <c r="B12" s="36" t="s">
        <v>738</v>
      </c>
      <c r="C12" s="36" t="s">
        <v>739</v>
      </c>
      <c r="D12" s="36" t="s">
        <v>740</v>
      </c>
      <c r="E12" s="36" t="s">
        <v>741</v>
      </c>
      <c r="F12" s="37" t="str">
        <f>PROPER(TRIM(CLEAN(tblCleaner[[#This Row],[Raw Name]])))</f>
        <v>Liam Tremblay</v>
      </c>
      <c r="G12" s="37" t="str">
        <f>LOWER(TRIM(CLEAN(tblCleaner[[#This Row],[Raw Email]])))</f>
        <v>liam.tremblay@northgatedental.example</v>
      </c>
      <c r="H12" s="37" t="str">
        <f>IF(TRIM(tblCleaner[[#This Row],[Raw Country]])="","",IFERROR(INDEX(tblCountryMap[Standard Name],MATCH(TRIM(tblCleaner[[#This Row],[Raw Country]]),tblCountryMap[Variation],0)),PROPER(TRIM(tblCleaner[[#This Row],[Raw Country]]))))</f>
        <v>Canada</v>
      </c>
      <c r="I12" s="38" t="str">
        <f>IF(TRIM(tblCleaner[[#This Row],[Raw Phone]])="","",SUBSTITUTE(SUBSTITUTE(SUBSTITUTE(SUBSTITUTE(SUBSTITUTE(SUBSTITUTE(SUBSTITUTE(TRIM(tblCleaner[[#This Row],[Raw Phone]]),"(0)",""),"(",""),")",""),"-","")," ",""),".",""),"/",""))</f>
        <v>16045550119</v>
      </c>
      <c r="J12"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12" s="30" t="str">
        <f>IF(tblCleaner[[#This Row],[Normalized Email]]="","",IF(COUNTIF(tblCleaner[Normalized Email],tblCleaner[[#This Row],[Normalized Email]])&gt;1,"Duplicate","Unique"))</f>
        <v>Unique</v>
      </c>
      <c r="L12"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12" s="23" t="s">
        <v>742</v>
      </c>
      <c r="O12" s="23" t="s">
        <v>729</v>
      </c>
    </row>
    <row r="13" spans="2:15" ht="14.4" x14ac:dyDescent="0.3">
      <c r="B13" s="36" t="s">
        <v>743</v>
      </c>
      <c r="C13" s="36" t="s">
        <v>561</v>
      </c>
      <c r="D13" s="36" t="s">
        <v>737</v>
      </c>
      <c r="E13" s="36" t="s">
        <v>744</v>
      </c>
      <c r="F13" s="37" t="str">
        <f>PROPER(TRIM(CLEAN(tblCleaner[[#This Row],[Raw Name]])))</f>
        <v>Grace Whitfield</v>
      </c>
      <c r="G13" s="37" t="str">
        <f>LOWER(TRIM(CLEAN(tblCleaner[[#This Row],[Raw Email]])))</f>
        <v>grace.whitfield@sunrisebakery.example</v>
      </c>
      <c r="H13" s="37" t="str">
        <f>IF(TRIM(tblCleaner[[#This Row],[Raw Country]])="","",IFERROR(INDEX(tblCountryMap[Standard Name],MATCH(TRIM(tblCleaner[[#This Row],[Raw Country]]),tblCountryMap[Variation],0)),PROPER(TRIM(tblCleaner[[#This Row],[Raw Country]]))))</f>
        <v>United States</v>
      </c>
      <c r="I13" s="38" t="str">
        <f>IF(TRIM(tblCleaner[[#This Row],[Raw Phone]])="","",SUBSTITUTE(SUBSTITUTE(SUBSTITUTE(SUBSTITUTE(SUBSTITUTE(SUBSTITUTE(SUBSTITUTE(TRIM(tblCleaner[[#This Row],[Raw Phone]]),"(0)",""),"(",""),")",""),"-","")," ",""),".",""),"/",""))</f>
        <v>2065550188</v>
      </c>
      <c r="J13"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13" s="30" t="str">
        <f>IF(tblCleaner[[#This Row],[Normalized Email]]="","",IF(COUNTIF(tblCleaner[Normalized Email],tblCleaner[[#This Row],[Normalized Email]])&gt;1,"Duplicate","Unique"))</f>
        <v>Unique</v>
      </c>
      <c r="L13"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13" s="23" t="s">
        <v>729</v>
      </c>
      <c r="O13" s="23" t="s">
        <v>729</v>
      </c>
    </row>
    <row r="14" spans="2:15" ht="14.4" x14ac:dyDescent="0.3">
      <c r="B14" s="36" t="s">
        <v>745</v>
      </c>
      <c r="C14" s="36" t="s">
        <v>564</v>
      </c>
      <c r="D14" s="36" t="s">
        <v>746</v>
      </c>
      <c r="E14" s="36" t="s">
        <v>747</v>
      </c>
      <c r="F14" s="37" t="str">
        <f>PROPER(TRIM(CLEAN(tblCleaner[[#This Row],[Raw Name]])))</f>
        <v>Jonas Keller</v>
      </c>
      <c r="G14" s="37" t="str">
        <f>LOWER(TRIM(CLEAN(tblCleaner[[#This Row],[Raw Email]])))</f>
        <v>jonas.keller@kestrel-eng.example</v>
      </c>
      <c r="H14" s="37" t="str">
        <f>IF(TRIM(tblCleaner[[#This Row],[Raw Country]])="","",IFERROR(INDEX(tblCountryMap[Standard Name],MATCH(TRIM(tblCleaner[[#This Row],[Raw Country]]),tblCountryMap[Variation],0)),PROPER(TRIM(tblCleaner[[#This Row],[Raw Country]]))))</f>
        <v>Germany</v>
      </c>
      <c r="I14" s="38" t="str">
        <f>IF(TRIM(tblCleaner[[#This Row],[Raw Phone]])="","",SUBSTITUTE(SUBSTITUTE(SUBSTITUTE(SUBSTITUTE(SUBSTITUTE(SUBSTITUTE(SUBSTITUTE(TRIM(tblCleaner[[#This Row],[Raw Phone]]),"(0)",""),"(",""),")",""),"-","")," ",""),".",""),"/",""))</f>
        <v>+493055550142</v>
      </c>
      <c r="J14"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14" s="30" t="str">
        <f>IF(tblCleaner[[#This Row],[Normalized Email]]="","",IF(COUNTIF(tblCleaner[Normalized Email],tblCleaner[[#This Row],[Normalized Email]])&gt;1,"Duplicate","Unique"))</f>
        <v>Unique</v>
      </c>
      <c r="L14"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14" s="23" t="s">
        <v>748</v>
      </c>
      <c r="O14" s="23" t="s">
        <v>729</v>
      </c>
    </row>
    <row r="15" spans="2:15" ht="14.4" x14ac:dyDescent="0.3">
      <c r="B15" s="36" t="s">
        <v>749</v>
      </c>
      <c r="C15" s="36"/>
      <c r="D15" s="36" t="s">
        <v>728</v>
      </c>
      <c r="E15" s="36" t="s">
        <v>750</v>
      </c>
      <c r="F15" s="37" t="str">
        <f>PROPER(TRIM(CLEAN(tblCleaner[[#This Row],[Raw Name]])))</f>
        <v>Olivia Brandt</v>
      </c>
      <c r="G15" s="37" t="str">
        <f>LOWER(TRIM(CLEAN(tblCleaner[[#This Row],[Raw Email]])))</f>
        <v/>
      </c>
      <c r="H15" s="37" t="str">
        <f>IF(TRIM(tblCleaner[[#This Row],[Raw Country]])="","",IFERROR(INDEX(tblCountryMap[Standard Name],MATCH(TRIM(tblCleaner[[#This Row],[Raw Country]]),tblCountryMap[Variation],0)),PROPER(TRIM(tblCleaner[[#This Row],[Raw Country]]))))</f>
        <v>United States</v>
      </c>
      <c r="I15" s="38" t="str">
        <f>IF(TRIM(tblCleaner[[#This Row],[Raw Phone]])="","",SUBSTITUTE(SUBSTITUTE(SUBSTITUTE(SUBSTITUTE(SUBSTITUTE(SUBSTITUTE(SUBSTITUTE(TRIM(tblCleaner[[#This Row],[Raw Phone]]),"(0)",""),"(",""),")",""),"-","")," ",""),".",""),"/",""))</f>
        <v>3125550163</v>
      </c>
      <c r="J15"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Missing: Email</v>
      </c>
      <c r="K15" s="30" t="str">
        <f>IF(tblCleaner[[#This Row],[Normalized Email]]="","",IF(COUNTIF(tblCleaner[Normalized Email],tblCleaner[[#This Row],[Normalized Email]])&gt;1,"Duplicate","Unique"))</f>
        <v/>
      </c>
      <c r="L15"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Blank</v>
      </c>
      <c r="N15" s="23" t="s">
        <v>751</v>
      </c>
      <c r="O15" s="23" t="s">
        <v>729</v>
      </c>
    </row>
    <row r="16" spans="2:15" ht="14.4" x14ac:dyDescent="0.3">
      <c r="B16" s="36" t="s">
        <v>752</v>
      </c>
      <c r="C16" s="36" t="s">
        <v>570</v>
      </c>
      <c r="D16" s="36" t="s">
        <v>753</v>
      </c>
      <c r="E16" s="36"/>
      <c r="F16" s="37" t="str">
        <f>PROPER(TRIM(CLEAN(tblCleaner[[#This Row],[Raw Name]])))</f>
        <v>Ethan Nakamura</v>
      </c>
      <c r="G16" s="37" t="str">
        <f>LOWER(TRIM(CLEAN(tblCleaner[[#This Row],[Raw Email]])))</f>
        <v>ethan.nakamura@atlasfreight.example</v>
      </c>
      <c r="H16" s="37" t="str">
        <f>IF(TRIM(tblCleaner[[#This Row],[Raw Country]])="","",IFERROR(INDEX(tblCountryMap[Standard Name],MATCH(TRIM(tblCleaner[[#This Row],[Raw Country]]),tblCountryMap[Variation],0)),PROPER(TRIM(tblCleaner[[#This Row],[Raw Country]]))))</f>
        <v>Australia</v>
      </c>
      <c r="I16" s="38" t="str">
        <f>IF(TRIM(tblCleaner[[#This Row],[Raw Phone]])="","",SUBSTITUTE(SUBSTITUTE(SUBSTITUTE(SUBSTITUTE(SUBSTITUTE(SUBSTITUTE(SUBSTITUTE(TRIM(tblCleaner[[#This Row],[Raw Phone]]),"(0)",""),"(",""),")",""),"-","")," ",""),".",""),"/",""))</f>
        <v/>
      </c>
      <c r="J16"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Missing: Phone</v>
      </c>
      <c r="K16" s="30" t="str">
        <f>IF(tblCleaner[[#This Row],[Normalized Email]]="","",IF(COUNTIF(tblCleaner[Normalized Email],tblCleaner[[#This Row],[Normalized Email]])&gt;1,"Duplicate","Unique"))</f>
        <v>Unique</v>
      </c>
      <c r="L16"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16" s="23" t="s">
        <v>754</v>
      </c>
      <c r="O16" s="23" t="s">
        <v>755</v>
      </c>
    </row>
    <row r="17" spans="2:15" ht="14.4" x14ac:dyDescent="0.3">
      <c r="B17" s="36" t="s">
        <v>756</v>
      </c>
      <c r="C17" s="36" t="s">
        <v>573</v>
      </c>
      <c r="D17" s="36" t="s">
        <v>757</v>
      </c>
      <c r="E17" s="36" t="s">
        <v>758</v>
      </c>
      <c r="F17" s="37" t="str">
        <f>PROPER(TRIM(CLEAN(tblCleaner[[#This Row],[Raw Name]])))</f>
        <v>Sofia Marchetti</v>
      </c>
      <c r="G17" s="37" t="str">
        <f>LOWER(TRIM(CLEAN(tblCleaner[[#This Row],[Raw Email]])))</f>
        <v>sofia.marchetti@meridianclinic.example</v>
      </c>
      <c r="H17" s="37" t="str">
        <f>IF(TRIM(tblCleaner[[#This Row],[Raw Country]])="","",IFERROR(INDEX(tblCountryMap[Standard Name],MATCH(TRIM(tblCleaner[[#This Row],[Raw Country]]),tblCountryMap[Variation],0)),PROPER(TRIM(tblCleaner[[#This Row],[Raw Country]]))))</f>
        <v>Canada</v>
      </c>
      <c r="I17" s="38" t="str">
        <f>IF(TRIM(tblCleaner[[#This Row],[Raw Phone]])="","",SUBSTITUTE(SUBSTITUTE(SUBSTITUTE(SUBSTITUTE(SUBSTITUTE(SUBSTITUTE(SUBSTITUTE(TRIM(tblCleaner[[#This Row],[Raw Phone]]),"(0)",""),"(",""),")",""),"-","")," ",""),".",""),"/",""))</f>
        <v>6045550124</v>
      </c>
      <c r="J17"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17" s="30" t="str">
        <f>IF(tblCleaner[[#This Row],[Normalized Email]]="","",IF(COUNTIF(tblCleaner[Normalized Email],tblCleaner[[#This Row],[Normalized Email]])&gt;1,"Duplicate","Unique"))</f>
        <v>Unique</v>
      </c>
      <c r="L17"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17" s="23" t="s">
        <v>759</v>
      </c>
      <c r="O17" s="23" t="s">
        <v>755</v>
      </c>
    </row>
    <row r="18" spans="2:15" ht="14.4" x14ac:dyDescent="0.3">
      <c r="B18" s="36" t="s">
        <v>760</v>
      </c>
      <c r="C18" s="36" t="s">
        <v>761</v>
      </c>
      <c r="D18" s="36" t="s">
        <v>748</v>
      </c>
      <c r="E18" s="36" t="s">
        <v>762</v>
      </c>
      <c r="F18" s="37" t="str">
        <f>PROPER(TRIM(CLEAN(tblCleaner[[#This Row],[Raw Name]])))</f>
        <v>Noah Fitzgerald</v>
      </c>
      <c r="G18" s="37" t="str">
        <f>LOWER(TRIM(CLEAN(tblCleaner[[#This Row],[Raw Email]])))</f>
        <v>noah.fitzgerald@copperlinecoffee.example</v>
      </c>
      <c r="H18" s="37" t="str">
        <f>IF(TRIM(tblCleaner[[#This Row],[Raw Country]])="","",IFERROR(INDEX(tblCountryMap[Standard Name],MATCH(TRIM(tblCleaner[[#This Row],[Raw Country]]),tblCountryMap[Variation],0)),PROPER(TRIM(tblCleaner[[#This Row],[Raw Country]]))))</f>
        <v>United States</v>
      </c>
      <c r="I18" s="38" t="str">
        <f>IF(TRIM(tblCleaner[[#This Row],[Raw Phone]])="","",SUBSTITUTE(SUBSTITUTE(SUBSTITUTE(SUBSTITUTE(SUBSTITUTE(SUBSTITUTE(SUBSTITUTE(TRIM(tblCleaner[[#This Row],[Raw Phone]]),"(0)",""),"(",""),")",""),"-","")," ",""),".",""),"/",""))</f>
        <v>6175550135</v>
      </c>
      <c r="J18"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18" s="30" t="str">
        <f>IF(tblCleaner[[#This Row],[Normalized Email]]="","",IF(COUNTIF(tblCleaner[Normalized Email],tblCleaner[[#This Row],[Normalized Email]])&gt;1,"Duplicate","Unique"))</f>
        <v>Unique</v>
      </c>
      <c r="L18"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18" s="23" t="s">
        <v>755</v>
      </c>
      <c r="O18" s="23" t="s">
        <v>755</v>
      </c>
    </row>
    <row r="19" spans="2:15" ht="14.4" x14ac:dyDescent="0.3">
      <c r="B19" s="36" t="s">
        <v>763</v>
      </c>
      <c r="C19" s="36" t="s">
        <v>579</v>
      </c>
      <c r="D19" s="36" t="s">
        <v>764</v>
      </c>
      <c r="E19" s="36" t="s">
        <v>765</v>
      </c>
      <c r="F19" s="37" t="str">
        <f>PROPER(TRIM(CLEAN(tblCleaner[[#This Row],[Raw Name]])))</f>
        <v>Hannah Doyle</v>
      </c>
      <c r="G19" s="37" t="str">
        <f>LOWER(TRIM(CLEAN(tblCleaner[[#This Row],[Raw Email]])))</f>
        <v>hannah.doyle@verity-legal.example</v>
      </c>
      <c r="H19" s="37" t="str">
        <f>IF(TRIM(tblCleaner[[#This Row],[Raw Country]])="","",IFERROR(INDEX(tblCountryMap[Standard Name],MATCH(TRIM(tblCleaner[[#This Row],[Raw Country]]),tblCountryMap[Variation],0)),PROPER(TRIM(tblCleaner[[#This Row],[Raw Country]]))))</f>
        <v>United Kingdom</v>
      </c>
      <c r="I19" s="38" t="str">
        <f>IF(TRIM(tblCleaner[[#This Row],[Raw Phone]])="","",SUBSTITUTE(SUBSTITUTE(SUBSTITUTE(SUBSTITUTE(SUBSTITUTE(SUBSTITUTE(SUBSTITUTE(TRIM(tblCleaner[[#This Row],[Raw Phone]]),"(0)",""),"(",""),")",""),"-","")," ",""),".",""),"/",""))</f>
        <v>02079460455</v>
      </c>
      <c r="J19"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19" s="30" t="str">
        <f>IF(tblCleaner[[#This Row],[Normalized Email]]="","",IF(COUNTIF(tblCleaner[Normalized Email],tblCleaner[[#This Row],[Normalized Email]])&gt;1,"Duplicate","Unique"))</f>
        <v>Unique</v>
      </c>
      <c r="L19"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19" s="23" t="s">
        <v>764</v>
      </c>
      <c r="O19" s="23" t="s">
        <v>755</v>
      </c>
    </row>
    <row r="20" spans="2:15" ht="14.4" x14ac:dyDescent="0.3">
      <c r="B20" s="36"/>
      <c r="C20" s="36" t="s">
        <v>582</v>
      </c>
      <c r="D20" s="36" t="s">
        <v>726</v>
      </c>
      <c r="E20" s="36" t="s">
        <v>766</v>
      </c>
      <c r="F20" s="37" t="str">
        <f>PROPER(TRIM(CLEAN(tblCleaner[[#This Row],[Raw Name]])))</f>
        <v/>
      </c>
      <c r="G20" s="37" t="str">
        <f>LOWER(TRIM(CLEAN(tblCleaner[[#This Row],[Raw Email]])))</f>
        <v>marcus.bell@pixelforgemedia.example</v>
      </c>
      <c r="H20" s="37" t="str">
        <f>IF(TRIM(tblCleaner[[#This Row],[Raw Country]])="","",IFERROR(INDEX(tblCountryMap[Standard Name],MATCH(TRIM(tblCleaner[[#This Row],[Raw Country]]),tblCountryMap[Variation],0)),PROPER(TRIM(tblCleaner[[#This Row],[Raw Country]]))))</f>
        <v>United States</v>
      </c>
      <c r="I20" s="38" t="str">
        <f>IF(TRIM(tblCleaner[[#This Row],[Raw Phone]])="","",SUBSTITUTE(SUBSTITUTE(SUBSTITUTE(SUBSTITUTE(SUBSTITUTE(SUBSTITUTE(SUBSTITUTE(TRIM(tblCleaner[[#This Row],[Raw Phone]]),"(0)",""),"(",""),")",""),"-","")," ",""),".",""),"/",""))</f>
        <v>4155550181</v>
      </c>
      <c r="J20"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Missing: Name</v>
      </c>
      <c r="K20" s="30" t="str">
        <f>IF(tblCleaner[[#This Row],[Normalized Email]]="","",IF(COUNTIF(tblCleaner[Normalized Email],tblCleaner[[#This Row],[Normalized Email]])&gt;1,"Duplicate","Unique"))</f>
        <v>Unique</v>
      </c>
      <c r="L20"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20" s="23" t="s">
        <v>767</v>
      </c>
      <c r="O20" s="23" t="s">
        <v>755</v>
      </c>
    </row>
    <row r="21" spans="2:15" ht="14.4" x14ac:dyDescent="0.3">
      <c r="B21" s="36" t="s">
        <v>768</v>
      </c>
      <c r="C21" s="36" t="s">
        <v>585</v>
      </c>
      <c r="D21" s="36" t="s">
        <v>769</v>
      </c>
      <c r="E21" s="36" t="s">
        <v>770</v>
      </c>
      <c r="F21" s="37" t="str">
        <f>PROPER(TRIM(CLEAN(tblCleaner[[#This Row],[Raw Name]])))</f>
        <v>Aoife Gallagher</v>
      </c>
      <c r="G21" s="37" t="str">
        <f>LOWER(TRIM(CLEAN(tblCleaner[[#This Row],[Raw Email]])))</f>
        <v>aoife.gallagher@orchardlane.example</v>
      </c>
      <c r="H21" s="37" t="str">
        <f>IF(TRIM(tblCleaner[[#This Row],[Raw Country]])="","",IFERROR(INDEX(tblCountryMap[Standard Name],MATCH(TRIM(tblCleaner[[#This Row],[Raw Country]]),tblCountryMap[Variation],0)),PROPER(TRIM(tblCleaner[[#This Row],[Raw Country]]))))</f>
        <v>Ireland</v>
      </c>
      <c r="I21" s="38" t="str">
        <f>IF(TRIM(tblCleaner[[#This Row],[Raw Phone]])="","",SUBSTITUTE(SUBSTITUTE(SUBSTITUTE(SUBSTITUTE(SUBSTITUTE(SUBSTITUTE(SUBSTITUTE(TRIM(tblCleaner[[#This Row],[Raw Phone]]),"(0)",""),"(",""),")",""),"-","")," ",""),".",""),"/",""))</f>
        <v>+35315550172</v>
      </c>
      <c r="J21"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21" s="30" t="str">
        <f>IF(tblCleaner[[#This Row],[Normalized Email]]="","",IF(COUNTIF(tblCleaner[Normalized Email],tblCleaner[[#This Row],[Normalized Email]])&gt;1,"Duplicate","Unique"))</f>
        <v>Unique</v>
      </c>
      <c r="L21"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21" s="23" t="s">
        <v>771</v>
      </c>
      <c r="O21" s="23" t="s">
        <v>755</v>
      </c>
    </row>
    <row r="22" spans="2:15" ht="14.4" x14ac:dyDescent="0.3">
      <c r="B22" s="36" t="s">
        <v>772</v>
      </c>
      <c r="C22" s="36" t="s">
        <v>588</v>
      </c>
      <c r="D22" s="36"/>
      <c r="E22" s="36" t="s">
        <v>773</v>
      </c>
      <c r="F22" s="37" t="str">
        <f>PROPER(TRIM(CLEAN(tblCleaner[[#This Row],[Raw Name]])))</f>
        <v>Tyrone Jackson</v>
      </c>
      <c r="G22" s="37" t="str">
        <f>LOWER(TRIM(CLEAN(tblCleaner[[#This Row],[Raw Email]])))</f>
        <v>tyrone.jackson@redwoodpm.example</v>
      </c>
      <c r="H22" s="37" t="str">
        <f>IF(TRIM(tblCleaner[[#This Row],[Raw Country]])="","",IFERROR(INDEX(tblCountryMap[Standard Name],MATCH(TRIM(tblCleaner[[#This Row],[Raw Country]]),tblCountryMap[Variation],0)),PROPER(TRIM(tblCleaner[[#This Row],[Raw Country]]))))</f>
        <v/>
      </c>
      <c r="I22" s="38" t="str">
        <f>IF(TRIM(tblCleaner[[#This Row],[Raw Phone]])="","",SUBSTITUTE(SUBSTITUTE(SUBSTITUTE(SUBSTITUTE(SUBSTITUTE(SUBSTITUTE(SUBSTITUTE(TRIM(tblCleaner[[#This Row],[Raw Phone]]),"(0)",""),"(",""),")",""),"-","")," ",""),".",""),"/",""))</f>
        <v>2065550106</v>
      </c>
      <c r="J22"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Missing: Country</v>
      </c>
      <c r="K22" s="30" t="str">
        <f>IF(tblCleaner[[#This Row],[Normalized Email]]="","",IF(COUNTIF(tblCleaner[Normalized Email],tblCleaner[[#This Row],[Normalized Email]])&gt;1,"Duplicate","Unique"))</f>
        <v>Unique</v>
      </c>
      <c r="L22"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22" s="23" t="s">
        <v>774</v>
      </c>
      <c r="O22" s="23" t="s">
        <v>755</v>
      </c>
    </row>
    <row r="23" spans="2:15" ht="14.4" x14ac:dyDescent="0.3">
      <c r="B23" s="36" t="s">
        <v>775</v>
      </c>
      <c r="C23" s="36" t="s">
        <v>776</v>
      </c>
      <c r="D23" s="36" t="s">
        <v>742</v>
      </c>
      <c r="E23" s="36" t="s">
        <v>777</v>
      </c>
      <c r="F23" s="37" t="str">
        <f>PROPER(TRIM(CLEAN(tblCleaner[[#This Row],[Raw Name]])))</f>
        <v>Elena Petrova</v>
      </c>
      <c r="G23" s="37" t="str">
        <f>LOWER(TRIM(CLEAN(tblCleaner[[#This Row],[Raw Email]])))</f>
        <v>elena.petrova@tidewatermarine</v>
      </c>
      <c r="H23" s="37" t="str">
        <f>IF(TRIM(tblCleaner[[#This Row],[Raw Country]])="","",IFERROR(INDEX(tblCountryMap[Standard Name],MATCH(TRIM(tblCleaner[[#This Row],[Raw Country]]),tblCountryMap[Variation],0)),PROPER(TRIM(tblCleaner[[#This Row],[Raw Country]]))))</f>
        <v>United States</v>
      </c>
      <c r="I23" s="38" t="str">
        <f>IF(TRIM(tblCleaner[[#This Row],[Raw Phone]])="","",SUBSTITUTE(SUBSTITUTE(SUBSTITUTE(SUBSTITUTE(SUBSTITUTE(SUBSTITUTE(SUBSTITUTE(TRIM(tblCleaner[[#This Row],[Raw Phone]]),"(0)",""),"(",""),")",""),"-","")," ",""),".",""),"/",""))</f>
        <v>3125550199</v>
      </c>
      <c r="J23"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23" s="30" t="str">
        <f>IF(tblCleaner[[#This Row],[Normalized Email]]="","",IF(COUNTIF(tblCleaner[Normalized Email],tblCleaner[[#This Row],[Normalized Email]])&gt;1,"Duplicate","Unique"))</f>
        <v>Unique</v>
      </c>
      <c r="L23"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Check</v>
      </c>
      <c r="N23" s="23" t="s">
        <v>778</v>
      </c>
      <c r="O23" s="23" t="s">
        <v>778</v>
      </c>
    </row>
    <row r="24" spans="2:15" ht="14.4" x14ac:dyDescent="0.3">
      <c r="B24" s="36" t="s">
        <v>779</v>
      </c>
      <c r="C24" s="36" t="s">
        <v>593</v>
      </c>
      <c r="D24" s="36" t="s">
        <v>754</v>
      </c>
      <c r="E24" s="36" t="s">
        <v>780</v>
      </c>
      <c r="F24" s="37" t="str">
        <f>PROPER(TRIM(CLEAN(tblCleaner[[#This Row],[Raw Name]])))</f>
        <v>Callum Reid</v>
      </c>
      <c r="G24" s="37" t="str">
        <f>LOWER(TRIM(CLEAN(tblCleaner[[#This Row],[Raw Email]])))</f>
        <v>callum.reid@alderfinch.example</v>
      </c>
      <c r="H24" s="37" t="str">
        <f>IF(TRIM(tblCleaner[[#This Row],[Raw Country]])="","",IFERROR(INDEX(tblCountryMap[Standard Name],MATCH(TRIM(tblCleaner[[#This Row],[Raw Country]]),tblCountryMap[Variation],0)),PROPER(TRIM(tblCleaner[[#This Row],[Raw Country]]))))</f>
        <v>United Kingdom</v>
      </c>
      <c r="I24" s="38" t="str">
        <f>IF(TRIM(tblCleaner[[#This Row],[Raw Phone]])="","",SUBSTITUTE(SUBSTITUTE(SUBSTITUTE(SUBSTITUTE(SUBSTITUTE(SUBSTITUTE(SUBSTITUTE(TRIM(tblCleaner[[#This Row],[Raw Phone]]),"(0)",""),"(",""),")",""),"-","")," ",""),".",""),"/",""))</f>
        <v>02079460577</v>
      </c>
      <c r="J24"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24" s="30" t="str">
        <f>IF(tblCleaner[[#This Row],[Normalized Email]]="","",IF(COUNTIF(tblCleaner[Normalized Email],tblCleaner[[#This Row],[Normalized Email]])&gt;1,"Duplicate","Unique"))</f>
        <v>Unique</v>
      </c>
      <c r="L24"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24" s="23" t="s">
        <v>781</v>
      </c>
      <c r="O24" s="23" t="s">
        <v>778</v>
      </c>
    </row>
    <row r="25" spans="2:15" ht="14.4" x14ac:dyDescent="0.3">
      <c r="B25" s="36" t="s">
        <v>782</v>
      </c>
      <c r="C25" s="36" t="s">
        <v>596</v>
      </c>
      <c r="D25" s="36" t="s">
        <v>783</v>
      </c>
      <c r="E25" s="36" t="s">
        <v>784</v>
      </c>
      <c r="F25" s="37" t="str">
        <f>PROPER(TRIM(CLEAN(tblCleaner[[#This Row],[Raw Name]])))</f>
        <v>Zoe Harrington</v>
      </c>
      <c r="G25" s="37" t="str">
        <f>LOWER(TRIM(CLEAN(tblCleaner[[#This Row],[Raw Email]])))</f>
        <v>zoe.harrington@solsticefit.example</v>
      </c>
      <c r="H25" s="37" t="str">
        <f>IF(TRIM(tblCleaner[[#This Row],[Raw Country]])="","",IFERROR(INDEX(tblCountryMap[Standard Name],MATCH(TRIM(tblCleaner[[#This Row],[Raw Country]]),tblCountryMap[Variation],0)),PROPER(TRIM(tblCleaner[[#This Row],[Raw Country]]))))</f>
        <v>Australia</v>
      </c>
      <c r="I25" s="38" t="str">
        <f>IF(TRIM(tblCleaner[[#This Row],[Raw Phone]])="","",SUBSTITUTE(SUBSTITUTE(SUBSTITUTE(SUBSTITUTE(SUBSTITUTE(SUBSTITUTE(SUBSTITUTE(TRIM(tblCleaner[[#This Row],[Raw Phone]]),"(0)",""),"(",""),")",""),"-","")," ",""),".",""),"/",""))</f>
        <v>+61255501188</v>
      </c>
      <c r="J25"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25" s="30" t="str">
        <f>IF(tblCleaner[[#This Row],[Normalized Email]]="","",IF(COUNTIF(tblCleaner[Normalized Email],tblCleaner[[#This Row],[Normalized Email]])&gt;1,"Duplicate","Unique"))</f>
        <v>Unique</v>
      </c>
      <c r="L25"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25" s="23" t="s">
        <v>785</v>
      </c>
      <c r="O25" s="23" t="s">
        <v>778</v>
      </c>
    </row>
    <row r="26" spans="2:15" ht="14.4" x14ac:dyDescent="0.3">
      <c r="B26" s="36" t="s">
        <v>547</v>
      </c>
      <c r="C26" s="36" t="s">
        <v>548</v>
      </c>
      <c r="D26" s="36" t="s">
        <v>729</v>
      </c>
      <c r="E26" s="36" t="s">
        <v>786</v>
      </c>
      <c r="F26" s="37" t="str">
        <f>PROPER(TRIM(CLEAN(tblCleaner[[#This Row],[Raw Name]])))</f>
        <v>Maria Santos</v>
      </c>
      <c r="G26" s="37" t="str">
        <f>LOWER(TRIM(CLEAN(tblCleaner[[#This Row],[Raw Email]])))</f>
        <v>maria.santos@brightpathlogistics.example</v>
      </c>
      <c r="H26" s="37" t="str">
        <f>IF(TRIM(tblCleaner[[#This Row],[Raw Country]])="","",IFERROR(INDEX(tblCountryMap[Standard Name],MATCH(TRIM(tblCleaner[[#This Row],[Raw Country]]),tblCountryMap[Variation],0)),PROPER(TRIM(tblCleaner[[#This Row],[Raw Country]]))))</f>
        <v>United States</v>
      </c>
      <c r="I26" s="38" t="str">
        <f>IF(TRIM(tblCleaner[[#This Row],[Raw Phone]])="","",SUBSTITUTE(SUBSTITUTE(SUBSTITUTE(SUBSTITUTE(SUBSTITUTE(SUBSTITUTE(SUBSTITUTE(TRIM(tblCleaner[[#This Row],[Raw Phone]]),"(0)",""),"(",""),")",""),"-","")," ",""),".",""),"/",""))</f>
        <v>+14155550142</v>
      </c>
      <c r="J26"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26" s="30" t="str">
        <f>IF(tblCleaner[[#This Row],[Normalized Email]]="","",IF(COUNTIF(tblCleaner[Normalized Email],tblCleaner[[#This Row],[Normalized Email]])&gt;1,"Duplicate","Unique"))</f>
        <v>Duplicate</v>
      </c>
      <c r="L26"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26" s="23" t="s">
        <v>787</v>
      </c>
      <c r="O26" s="23" t="s">
        <v>787</v>
      </c>
    </row>
    <row r="27" spans="2:15" ht="14.4" x14ac:dyDescent="0.3">
      <c r="B27" s="36" t="s">
        <v>788</v>
      </c>
      <c r="C27" s="36" t="s">
        <v>789</v>
      </c>
      <c r="D27" s="36" t="s">
        <v>790</v>
      </c>
      <c r="E27" s="36" t="s">
        <v>791</v>
      </c>
      <c r="F27" s="37" t="str">
        <f>PROPER(TRIM(CLEAN(tblCleaner[[#This Row],[Raw Name]])))</f>
        <v>Ryan Kowalski</v>
      </c>
      <c r="G27" s="37" t="str">
        <f>LOWER(TRIM(CLEAN(tblCleaner[[#This Row],[Raw Email]])))</f>
        <v>ryan.kowalski@ironbridgebuild.example</v>
      </c>
      <c r="H27" s="37" t="str">
        <f>IF(TRIM(tblCleaner[[#This Row],[Raw Country]])="","",IFERROR(INDEX(tblCountryMap[Standard Name],MATCH(TRIM(tblCleaner[[#This Row],[Raw Country]]),tblCountryMap[Variation],0)),PROPER(TRIM(tblCleaner[[#This Row],[Raw Country]]))))</f>
        <v>Canada</v>
      </c>
      <c r="I27" s="38" t="str">
        <f>IF(TRIM(tblCleaner[[#This Row],[Raw Phone]])="","",SUBSTITUTE(SUBSTITUTE(SUBSTITUTE(SUBSTITUTE(SUBSTITUTE(SUBSTITUTE(SUBSTITUTE(TRIM(tblCleaner[[#This Row],[Raw Phone]]),"(0)",""),"(",""),")",""),"-","")," ",""),".",""),"/",""))</f>
        <v>6045550142</v>
      </c>
      <c r="J27"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27" s="30" t="str">
        <f>IF(tblCleaner[[#This Row],[Normalized Email]]="","",IF(COUNTIF(tblCleaner[Normalized Email],tblCleaner[[#This Row],[Normalized Email]])&gt;1,"Duplicate","Unique"))</f>
        <v>Unique</v>
      </c>
      <c r="L27"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27" s="23" t="s">
        <v>746</v>
      </c>
      <c r="O27" s="23" t="s">
        <v>787</v>
      </c>
    </row>
    <row r="28" spans="2:15" ht="14.4" x14ac:dyDescent="0.3">
      <c r="B28" s="36" t="s">
        <v>792</v>
      </c>
      <c r="C28" s="36" t="s">
        <v>793</v>
      </c>
      <c r="D28" s="36" t="s">
        <v>794</v>
      </c>
      <c r="E28" s="36" t="s">
        <v>795</v>
      </c>
      <c r="F28" s="37" t="str">
        <f>PROPER(TRIM(CLEAN(tblCleaner[[#This Row],[Raw Name]])))</f>
        <v>Camille Laurent</v>
      </c>
      <c r="G28" s="37" t="str">
        <f>LOWER(TRIM(CLEAN(tblCleaner[[#This Row],[Raw Email]])))</f>
        <v>camille laurent@petalstem.example</v>
      </c>
      <c r="H28" s="37" t="str">
        <f>IF(TRIM(tblCleaner[[#This Row],[Raw Country]])="","",IFERROR(INDEX(tblCountryMap[Standard Name],MATCH(TRIM(tblCleaner[[#This Row],[Raw Country]]),tblCountryMap[Variation],0)),PROPER(TRIM(tblCleaner[[#This Row],[Raw Country]]))))</f>
        <v>France</v>
      </c>
      <c r="I28" s="38" t="str">
        <f>IF(TRIM(tblCleaner[[#This Row],[Raw Phone]])="","",SUBSTITUTE(SUBSTITUTE(SUBSTITUTE(SUBSTITUTE(SUBSTITUTE(SUBSTITUTE(SUBSTITUTE(TRIM(tblCleaner[[#This Row],[Raw Phone]]),"(0)",""),"(",""),")",""),"-","")," ",""),".",""),"/",""))</f>
        <v>+33155500123</v>
      </c>
      <c r="J28"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28" s="30" t="str">
        <f>IF(tblCleaner[[#This Row],[Normalized Email]]="","",IF(COUNTIF(tblCleaner[Normalized Email],tblCleaner[[#This Row],[Normalized Email]])&gt;1,"Duplicate","Unique"))</f>
        <v>Unique</v>
      </c>
      <c r="L28"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Check</v>
      </c>
      <c r="N28" s="23" t="s">
        <v>796</v>
      </c>
      <c r="O28" s="23" t="s">
        <v>787</v>
      </c>
    </row>
    <row r="29" spans="2:15" ht="14.4" x14ac:dyDescent="0.3">
      <c r="B29" s="36" t="s">
        <v>797</v>
      </c>
      <c r="C29" s="36" t="s">
        <v>605</v>
      </c>
      <c r="D29" s="36" t="s">
        <v>798</v>
      </c>
      <c r="E29" s="36" t="s">
        <v>799</v>
      </c>
      <c r="F29" s="37" t="str">
        <f>PROPER(TRIM(CLEAN(tblCleaner[[#This Row],[Raw Name]])))</f>
        <v>Isaac Moreno</v>
      </c>
      <c r="G29" s="37" t="str">
        <f>LOWER(TRIM(CLEAN(tblCleaner[[#This Row],[Raw Email]])))</f>
        <v>isaac.moreno@quarryhill.example</v>
      </c>
      <c r="H29" s="37" t="str">
        <f>IF(TRIM(tblCleaner[[#This Row],[Raw Country]])="","",IFERROR(INDEX(tblCountryMap[Standard Name],MATCH(TRIM(tblCleaner[[#This Row],[Raw Country]]),tblCountryMap[Variation],0)),PROPER(TRIM(tblCleaner[[#This Row],[Raw Country]]))))</f>
        <v>United States</v>
      </c>
      <c r="I29" s="38" t="str">
        <f>IF(TRIM(tblCleaner[[#This Row],[Raw Phone]])="","",SUBSTITUTE(SUBSTITUTE(SUBSTITUTE(SUBSTITUTE(SUBSTITUTE(SUBSTITUTE(SUBSTITUTE(TRIM(tblCleaner[[#This Row],[Raw Phone]]),"(0)",""),"(",""),")",""),"-","")," ",""),".",""),"/",""))</f>
        <v>4155550166</v>
      </c>
      <c r="J29"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29" s="30" t="str">
        <f>IF(tblCleaner[[#This Row],[Normalized Email]]="","",IF(COUNTIF(tblCleaner[Normalized Email],tblCleaner[[#This Row],[Normalized Email]])&gt;1,"Duplicate","Unique"))</f>
        <v>Unique</v>
      </c>
      <c r="L29"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29" s="23" t="s">
        <v>800</v>
      </c>
      <c r="O29" s="23" t="s">
        <v>800</v>
      </c>
    </row>
    <row r="30" spans="2:15" ht="14.4" x14ac:dyDescent="0.3">
      <c r="B30" s="36" t="s">
        <v>801</v>
      </c>
      <c r="C30" s="36" t="s">
        <v>608</v>
      </c>
      <c r="D30" s="36" t="s">
        <v>802</v>
      </c>
      <c r="E30" s="36" t="s">
        <v>803</v>
      </c>
      <c r="F30" s="37" t="str">
        <f>PROPER(TRIM(CLEAN(tblCleaner[[#This Row],[Raw Name]])))</f>
        <v>Freya Jansen</v>
      </c>
      <c r="G30" s="37" t="str">
        <f>LOWER(TRIM(CLEAN(tblCleaner[[#This Row],[Raw Email]])))</f>
        <v>freya.jansen@nimbuscloud.example</v>
      </c>
      <c r="H30" s="37" t="str">
        <f>IF(TRIM(tblCleaner[[#This Row],[Raw Country]])="","",IFERROR(INDEX(tblCountryMap[Standard Name],MATCH(TRIM(tblCleaner[[#This Row],[Raw Country]]),tblCountryMap[Variation],0)),PROPER(TRIM(tblCleaner[[#This Row],[Raw Country]]))))</f>
        <v>Netherlands</v>
      </c>
      <c r="I30" s="38" t="str">
        <f>IF(TRIM(tblCleaner[[#This Row],[Raw Phone]])="","",SUBSTITUTE(SUBSTITUTE(SUBSTITUTE(SUBSTITUTE(SUBSTITUTE(SUBSTITUTE(SUBSTITUTE(TRIM(tblCleaner[[#This Row],[Raw Phone]]),"(0)",""),"(",""),")",""),"-","")," ",""),".",""),"/",""))</f>
        <v>+31205550134</v>
      </c>
      <c r="J30"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30" s="30" t="str">
        <f>IF(tblCleaner[[#This Row],[Normalized Email]]="","",IF(COUNTIF(tblCleaner[Normalized Email],tblCleaner[[#This Row],[Normalized Email]])&gt;1,"Duplicate","Unique"))</f>
        <v>Unique</v>
      </c>
      <c r="L30"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30" s="23" t="s">
        <v>804</v>
      </c>
      <c r="O30" s="23" t="s">
        <v>800</v>
      </c>
    </row>
    <row r="31" spans="2:15" ht="14.4" x14ac:dyDescent="0.3">
      <c r="B31" s="36" t="s">
        <v>805</v>
      </c>
      <c r="C31" s="36" t="s">
        <v>806</v>
      </c>
      <c r="D31" s="36" t="s">
        <v>729</v>
      </c>
      <c r="E31" s="36" t="s">
        <v>807</v>
      </c>
      <c r="F31" s="37" t="str">
        <f>PROPER(TRIM(CLEAN(tblCleaner[[#This Row],[Raw Name]])))</f>
        <v>Wesley Dunn</v>
      </c>
      <c r="G31" s="37" t="str">
        <f>LOWER(TRIM(CLEAN(tblCleaner[[#This Row],[Raw Email]])))</f>
        <v/>
      </c>
      <c r="H31" s="37" t="str">
        <f>IF(TRIM(tblCleaner[[#This Row],[Raw Country]])="","",IFERROR(INDEX(tblCountryMap[Standard Name],MATCH(TRIM(tblCleaner[[#This Row],[Raw Country]]),tblCountryMap[Variation],0)),PROPER(TRIM(tblCleaner[[#This Row],[Raw Country]]))))</f>
        <v>United States</v>
      </c>
      <c r="I31" s="38" t="str">
        <f>IF(TRIM(tblCleaner[[#This Row],[Raw Phone]])="","",SUBSTITUTE(SUBSTITUTE(SUBSTITUTE(SUBSTITUTE(SUBSTITUTE(SUBSTITUTE(SUBSTITUTE(TRIM(tblCleaner[[#This Row],[Raw Phone]]),"(0)",""),"(",""),")",""),"-","")," ",""),".",""),"/",""))</f>
        <v>6175550128</v>
      </c>
      <c r="J31"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Missing: Email</v>
      </c>
      <c r="K31" s="30" t="str">
        <f>IF(tblCleaner[[#This Row],[Normalized Email]]="","",IF(COUNTIF(tblCleaner[Normalized Email],tblCleaner[[#This Row],[Normalized Email]])&gt;1,"Duplicate","Unique"))</f>
        <v/>
      </c>
      <c r="L31"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Blank</v>
      </c>
      <c r="N31" s="23" t="s">
        <v>753</v>
      </c>
      <c r="O31" s="23" t="s">
        <v>753</v>
      </c>
    </row>
    <row r="32" spans="2:15" ht="14.4" x14ac:dyDescent="0.3">
      <c r="B32" s="36" t="s">
        <v>808</v>
      </c>
      <c r="C32" s="36" t="s">
        <v>809</v>
      </c>
      <c r="D32" s="36" t="s">
        <v>726</v>
      </c>
      <c r="E32" s="36" t="s">
        <v>810</v>
      </c>
      <c r="F32" s="37" t="str">
        <f>PROPER(TRIM(CLEAN(tblCleaner[[#This Row],[Raw Name]])))</f>
        <v>Naomi Castellano</v>
      </c>
      <c r="G32" s="37" t="str">
        <f>LOWER(TRIM(CLEAN(tblCleaner[[#This Row],[Raw Email]])))</f>
        <v>naomi.castellano@summitridge.example</v>
      </c>
      <c r="H32" s="37" t="str">
        <f>IF(TRIM(tblCleaner[[#This Row],[Raw Country]])="","",IFERROR(INDEX(tblCountryMap[Standard Name],MATCH(TRIM(tblCleaner[[#This Row],[Raw Country]]),tblCountryMap[Variation],0)),PROPER(TRIM(tblCleaner[[#This Row],[Raw Country]]))))</f>
        <v>United States</v>
      </c>
      <c r="I32" s="38" t="str">
        <f>IF(TRIM(tblCleaner[[#This Row],[Raw Phone]])="","",SUBSTITUTE(SUBSTITUTE(SUBSTITUTE(SUBSTITUTE(SUBSTITUTE(SUBSTITUTE(SUBSTITUTE(TRIM(tblCleaner[[#This Row],[Raw Phone]]),"(0)",""),"(",""),")",""),"-","")," ",""),".",""),"/",""))</f>
        <v>3125550104</v>
      </c>
      <c r="J32"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32" s="30" t="str">
        <f>IF(tblCleaner[[#This Row],[Normalized Email]]="","",IF(COUNTIF(tblCleaner[Normalized Email],tblCleaner[[#This Row],[Normalized Email]])&gt;1,"Duplicate","Unique"))</f>
        <v>Unique</v>
      </c>
      <c r="L32"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32" s="23" t="s">
        <v>811</v>
      </c>
      <c r="O32" s="23" t="s">
        <v>753</v>
      </c>
    </row>
    <row r="33" spans="2:15" ht="14.4" x14ac:dyDescent="0.3">
      <c r="B33" s="36" t="s">
        <v>812</v>
      </c>
      <c r="C33" s="36" t="s">
        <v>813</v>
      </c>
      <c r="D33" s="36" t="s">
        <v>729</v>
      </c>
      <c r="E33" s="36" t="s">
        <v>814</v>
      </c>
      <c r="F33" s="37" t="str">
        <f>PROPER(TRIM(CLEAN(tblCleaner[[#This Row],[Raw Name]])))</f>
        <v>Oscar Lindqvist</v>
      </c>
      <c r="G33" s="37" t="str">
        <f>LOWER(TRIM(CLEAN(tblCleaner[[#This Row],[Raw Email]])))</f>
        <v>oscar.lindqvist@blueheron.example</v>
      </c>
      <c r="H33" s="37" t="str">
        <f>IF(TRIM(tblCleaner[[#This Row],[Raw Country]])="","",IFERROR(INDEX(tblCountryMap[Standard Name],MATCH(TRIM(tblCleaner[[#This Row],[Raw Country]]),tblCountryMap[Variation],0)),PROPER(TRIM(tblCleaner[[#This Row],[Raw Country]]))))</f>
        <v>United States</v>
      </c>
      <c r="I33" s="38" t="str">
        <f>IF(TRIM(tblCleaner[[#This Row],[Raw Phone]])="","",SUBSTITUTE(SUBSTITUTE(SUBSTITUTE(SUBSTITUTE(SUBSTITUTE(SUBSTITUTE(SUBSTITUTE(TRIM(tblCleaner[[#This Row],[Raw Phone]]),"(0)",""),"(",""),")",""),"-","")," ",""),".",""),"/",""))</f>
        <v>2065550157</v>
      </c>
      <c r="J33"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33" s="30" t="str">
        <f>IF(tblCleaner[[#This Row],[Normalized Email]]="","",IF(COUNTIF(tblCleaner[Normalized Email],tblCleaner[[#This Row],[Normalized Email]])&gt;1,"Duplicate","Unique"))</f>
        <v>Unique</v>
      </c>
      <c r="L33"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33" s="23" t="s">
        <v>815</v>
      </c>
      <c r="O33" s="23" t="s">
        <v>753</v>
      </c>
    </row>
    <row r="34" spans="2:15" ht="14.4" x14ac:dyDescent="0.3">
      <c r="B34" s="36" t="s">
        <v>816</v>
      </c>
      <c r="C34" s="36" t="s">
        <v>555</v>
      </c>
      <c r="D34" s="36" t="s">
        <v>771</v>
      </c>
      <c r="E34" s="36" t="s">
        <v>817</v>
      </c>
      <c r="F34" s="37" t="str">
        <f>PROPER(TRIM(CLEAN(tblCleaner[[#This Row],[Raw Name]])))</f>
        <v>Priya Raman</v>
      </c>
      <c r="G34" s="37" t="str">
        <f>LOWER(TRIM(CLEAN(tblCleaner[[#This Row],[Raw Email]])))</f>
        <v>priya.raman@lumenanalytics.example</v>
      </c>
      <c r="H34" s="37" t="str">
        <f>IF(TRIM(tblCleaner[[#This Row],[Raw Country]])="","",IFERROR(INDEX(tblCountryMap[Standard Name],MATCH(TRIM(tblCleaner[[#This Row],[Raw Country]]),tblCountryMap[Variation],0)),PROPER(TRIM(tblCleaner[[#This Row],[Raw Country]]))))</f>
        <v>United Kingdom</v>
      </c>
      <c r="I34" s="38" t="str">
        <f>IF(TRIM(tblCleaner[[#This Row],[Raw Phone]])="","",SUBSTITUTE(SUBSTITUTE(SUBSTITUTE(SUBSTITUTE(SUBSTITUTE(SUBSTITUTE(SUBSTITUTE(TRIM(tblCleaner[[#This Row],[Raw Phone]]),"(0)",""),"(",""),")",""),"-","")," ",""),".",""),"/",""))</f>
        <v>+442079460311</v>
      </c>
      <c r="J34"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34" s="30" t="str">
        <f>IF(tblCleaner[[#This Row],[Normalized Email]]="","",IF(COUNTIF(tblCleaner[Normalized Email],tblCleaner[[#This Row],[Normalized Email]])&gt;1,"Duplicate","Unique"))</f>
        <v>Duplicate</v>
      </c>
      <c r="L34"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34" s="23" t="s">
        <v>818</v>
      </c>
      <c r="O34" s="23" t="s">
        <v>818</v>
      </c>
    </row>
    <row r="35" spans="2:15" ht="14.4" x14ac:dyDescent="0.3">
      <c r="B35" s="36" t="s">
        <v>819</v>
      </c>
      <c r="C35" s="36" t="s">
        <v>820</v>
      </c>
      <c r="D35" s="36" t="s">
        <v>821</v>
      </c>
      <c r="E35" s="36" t="s">
        <v>822</v>
      </c>
      <c r="F35" s="37" t="str">
        <f>PROPER(TRIM(CLEAN(tblCleaner[[#This Row],[Raw Name]])))</f>
        <v>Mcallister, Jo</v>
      </c>
      <c r="G35" s="37" t="str">
        <f>LOWER(TRIM(CLEAN(tblCleaner[[#This Row],[Raw Email]])))</f>
        <v>jo.mcallister@foxglovedesign.example</v>
      </c>
      <c r="H35" s="37" t="str">
        <f>IF(TRIM(tblCleaner[[#This Row],[Raw Country]])="","",IFERROR(INDEX(tblCountryMap[Standard Name],MATCH(TRIM(tblCleaner[[#This Row],[Raw Country]]),tblCountryMap[Variation],0)),PROPER(TRIM(tblCleaner[[#This Row],[Raw Country]]))))</f>
        <v>United Kingdom</v>
      </c>
      <c r="I35" s="38" t="str">
        <f>IF(TRIM(tblCleaner[[#This Row],[Raw Phone]])="","",SUBSTITUTE(SUBSTITUTE(SUBSTITUTE(SUBSTITUTE(SUBSTITUTE(SUBSTITUTE(SUBSTITUTE(TRIM(tblCleaner[[#This Row],[Raw Phone]]),"(0)",""),"(",""),")",""),"-","")," ",""),".",""),"/",""))</f>
        <v>+442079460699</v>
      </c>
      <c r="J35"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Complete</v>
      </c>
      <c r="K35" s="30" t="str">
        <f>IF(tblCleaner[[#This Row],[Normalized Email]]="","",IF(COUNTIF(tblCleaner[Normalized Email],tblCleaner[[#This Row],[Normalized Email]])&gt;1,"Duplicate","Unique"))</f>
        <v>Unique</v>
      </c>
      <c r="L35"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Valid</v>
      </c>
      <c r="N35" s="23" t="s">
        <v>823</v>
      </c>
      <c r="O35" s="23" t="s">
        <v>818</v>
      </c>
    </row>
    <row r="36" spans="2:15" ht="14.4" x14ac:dyDescent="0.3">
      <c r="B36" s="36" t="s">
        <v>806</v>
      </c>
      <c r="C36" s="36"/>
      <c r="D36" s="36"/>
      <c r="E36" s="36"/>
      <c r="F36" s="37" t="str">
        <f>PROPER(TRIM(CLEAN(tblCleaner[[#This Row],[Raw Name]])))</f>
        <v/>
      </c>
      <c r="G36" s="37" t="str">
        <f>LOWER(TRIM(CLEAN(tblCleaner[[#This Row],[Raw Email]])))</f>
        <v/>
      </c>
      <c r="H36" s="37" t="str">
        <f>IF(TRIM(tblCleaner[[#This Row],[Raw Country]])="","",IFERROR(INDEX(tblCountryMap[Standard Name],MATCH(TRIM(tblCleaner[[#This Row],[Raw Country]]),tblCountryMap[Variation],0)),PROPER(TRIM(tblCleaner[[#This Row],[Raw Country]]))))</f>
        <v/>
      </c>
      <c r="I36" s="38" t="str">
        <f>IF(TRIM(tblCleaner[[#This Row],[Raw Phone]])="","",SUBSTITUTE(SUBSTITUTE(SUBSTITUTE(SUBSTITUTE(SUBSTITUTE(SUBSTITUTE(SUBSTITUTE(TRIM(tblCleaner[[#This Row],[Raw Phone]]),"(0)",""),"(",""),")",""),"-","")," ",""),".",""),"/",""))</f>
        <v/>
      </c>
      <c r="J36" s="37" t="str">
        <f>IF(AND(tblCleaner[[#This Row],[Clean Name]]&lt;&gt;"",tblCleaner[[#This Row],[Normalized Email]]&lt;&gt;"",tblCleaner[[#This Row],[Standardized Country]]&lt;&gt;"",tblCleaner[[#This Row],[Clean Phone]]&lt;&gt;""),"Complete","Missing: "&amp;TRIM(IF(tblCleaner[[#This Row],[Clean Name]]="","Name ","")&amp;IF(tblCleaner[[#This Row],[Normalized Email]]="","Email ","")&amp;IF(tblCleaner[[#This Row],[Standardized Country]]="","Country ","")&amp;IF(tblCleaner[[#This Row],[Clean Phone]]="","Phone","")))</f>
        <v>Missing: Name Email Country Phone</v>
      </c>
      <c r="K36" s="30" t="str">
        <f>IF(tblCleaner[[#This Row],[Normalized Email]]="","",IF(COUNTIF(tblCleaner[Normalized Email],tblCleaner[[#This Row],[Normalized Email]])&gt;1,"Duplicate","Unique"))</f>
        <v/>
      </c>
      <c r="L36" s="30" t="str">
        <f>IF(tblCleaner[[#This Row],[Normalized Email]]="","Blank",IFERROR(IF(AND(LEN(tblCleaner[[#This Row],[Normalized Email]])-LEN(SUBSTITUTE(tblCleaner[[#This Row],[Normalized Email]],"@",""))=1,ISERROR(FIND(" ",tblCleaner[[#This Row],[Normalized Email]])),FIND("@",tblCleaner[[#This Row],[Normalized Email]])&gt;1,ISNUMBER(FIND(".",tblCleaner[[#This Row],[Normalized Email]],FIND("@",tblCleaner[[#This Row],[Normalized Email]])))),"Valid","Check"),"Check"))</f>
        <v>Blank</v>
      </c>
      <c r="N36" s="23" t="s">
        <v>824</v>
      </c>
      <c r="O36" s="23" t="s">
        <v>818</v>
      </c>
    </row>
    <row r="37" spans="2:15" ht="14.4" x14ac:dyDescent="0.3">
      <c r="N37" s="23" t="s">
        <v>825</v>
      </c>
      <c r="O37" s="23" t="s">
        <v>825</v>
      </c>
    </row>
    <row r="38" spans="2:15" ht="14.4" x14ac:dyDescent="0.3">
      <c r="N38" s="23" t="s">
        <v>826</v>
      </c>
      <c r="O38" s="23" t="s">
        <v>825</v>
      </c>
    </row>
    <row r="39" spans="2:15" ht="14.4" x14ac:dyDescent="0.3">
      <c r="N39" s="23" t="s">
        <v>827</v>
      </c>
      <c r="O39" s="23" t="s">
        <v>825</v>
      </c>
    </row>
    <row r="40" spans="2:15" ht="14.4" x14ac:dyDescent="0.3">
      <c r="N40" s="23" t="s">
        <v>828</v>
      </c>
      <c r="O40" s="23" t="s">
        <v>825</v>
      </c>
    </row>
    <row r="41" spans="2:15" ht="14.4" x14ac:dyDescent="0.3">
      <c r="N41" s="23" t="s">
        <v>829</v>
      </c>
      <c r="O41" s="23" t="s">
        <v>829</v>
      </c>
    </row>
    <row r="42" spans="2:15" ht="14.4" x14ac:dyDescent="0.3">
      <c r="N42" s="23" t="s">
        <v>830</v>
      </c>
      <c r="O42" s="23" t="s">
        <v>829</v>
      </c>
    </row>
    <row r="43" spans="2:15" ht="14.4" x14ac:dyDescent="0.3">
      <c r="N43" s="23" t="s">
        <v>831</v>
      </c>
      <c r="O43" s="23" t="s">
        <v>829</v>
      </c>
    </row>
    <row r="44" spans="2:15" ht="14.4" x14ac:dyDescent="0.3">
      <c r="N44" s="23" t="s">
        <v>832</v>
      </c>
      <c r="O44" s="23" t="s">
        <v>829</v>
      </c>
    </row>
    <row r="45" spans="2:15" ht="14.4" x14ac:dyDescent="0.3">
      <c r="N45" s="23" t="s">
        <v>833</v>
      </c>
      <c r="O45" s="23" t="s">
        <v>833</v>
      </c>
    </row>
    <row r="46" spans="2:15" ht="14.4" x14ac:dyDescent="0.3">
      <c r="N46" s="23" t="s">
        <v>834</v>
      </c>
      <c r="O46" s="23" t="s">
        <v>833</v>
      </c>
    </row>
    <row r="47" spans="2:15" ht="14.4" x14ac:dyDescent="0.3">
      <c r="N47" s="23" t="s">
        <v>835</v>
      </c>
      <c r="O47" s="23" t="s">
        <v>833</v>
      </c>
    </row>
    <row r="48" spans="2:15" ht="14.4" x14ac:dyDescent="0.3">
      <c r="N48" s="23" t="s">
        <v>836</v>
      </c>
      <c r="O48" s="23" t="s">
        <v>836</v>
      </c>
    </row>
    <row r="49" spans="14:15" ht="14.4" x14ac:dyDescent="0.3">
      <c r="N49" s="23" t="s">
        <v>837</v>
      </c>
      <c r="O49" s="23" t="s">
        <v>836</v>
      </c>
    </row>
    <row r="50" spans="14:15" ht="14.4" x14ac:dyDescent="0.3">
      <c r="N50" s="23" t="s">
        <v>838</v>
      </c>
      <c r="O50" s="23" t="s">
        <v>838</v>
      </c>
    </row>
    <row r="51" spans="14:15" ht="14.4" x14ac:dyDescent="0.3">
      <c r="N51" s="23" t="s">
        <v>839</v>
      </c>
      <c r="O51" s="23" t="s">
        <v>838</v>
      </c>
    </row>
    <row r="52" spans="14:15" ht="14.4" x14ac:dyDescent="0.3">
      <c r="N52" s="23" t="s">
        <v>840</v>
      </c>
      <c r="O52" s="23" t="s">
        <v>838</v>
      </c>
    </row>
    <row r="53" spans="14:15" ht="14.4" x14ac:dyDescent="0.3">
      <c r="N53" s="23" t="s">
        <v>841</v>
      </c>
      <c r="O53" s="23" t="s">
        <v>841</v>
      </c>
    </row>
    <row r="54" spans="14:15" ht="14.4" x14ac:dyDescent="0.3">
      <c r="N54" s="23" t="s">
        <v>842</v>
      </c>
      <c r="O54" s="23" t="s">
        <v>841</v>
      </c>
    </row>
    <row r="55" spans="14:15" ht="14.4" x14ac:dyDescent="0.3">
      <c r="N55" s="23" t="s">
        <v>843</v>
      </c>
      <c r="O55" s="23" t="s">
        <v>841</v>
      </c>
    </row>
    <row r="56" spans="14:15" ht="14.4" x14ac:dyDescent="0.3">
      <c r="N56" s="23" t="s">
        <v>844</v>
      </c>
      <c r="O56" s="23" t="s">
        <v>844</v>
      </c>
    </row>
    <row r="57" spans="14:15" ht="14.4" x14ac:dyDescent="0.3">
      <c r="N57" s="23" t="s">
        <v>845</v>
      </c>
      <c r="O57" s="23" t="s">
        <v>844</v>
      </c>
    </row>
    <row r="58" spans="14:15" ht="14.4" x14ac:dyDescent="0.3">
      <c r="N58" s="23" t="s">
        <v>846</v>
      </c>
      <c r="O58" s="23" t="s">
        <v>846</v>
      </c>
    </row>
    <row r="59" spans="14:15" ht="14.4" x14ac:dyDescent="0.3">
      <c r="N59" s="23" t="s">
        <v>847</v>
      </c>
      <c r="O59" s="23" t="s">
        <v>846</v>
      </c>
    </row>
    <row r="60" spans="14:15" ht="14.4" x14ac:dyDescent="0.3">
      <c r="N60" s="23" t="s">
        <v>848</v>
      </c>
      <c r="O60" s="23" t="s">
        <v>848</v>
      </c>
    </row>
    <row r="61" spans="14:15" ht="14.4" x14ac:dyDescent="0.3">
      <c r="N61" s="23" t="s">
        <v>849</v>
      </c>
      <c r="O61" s="23" t="s">
        <v>848</v>
      </c>
    </row>
  </sheetData>
  <mergeCells count="15">
    <mergeCell ref="N7:O7"/>
    <mergeCell ref="B5:C5"/>
    <mergeCell ref="B2:O2"/>
    <mergeCell ref="D5:E5"/>
    <mergeCell ref="F5:G5"/>
    <mergeCell ref="F6:G6"/>
    <mergeCell ref="D4:E4"/>
    <mergeCell ref="H5:I5"/>
    <mergeCell ref="H4:I4"/>
    <mergeCell ref="B4:C4"/>
    <mergeCell ref="D6:E6"/>
    <mergeCell ref="B6:C6"/>
    <mergeCell ref="B1:O1"/>
    <mergeCell ref="F4:G4"/>
    <mergeCell ref="H6:I6"/>
  </mergeCells>
  <conditionalFormatting sqref="J9:J36">
    <cfRule type="expression" dxfId="6" priority="1">
      <formula>LEFT($J9,7)="Missing"</formula>
    </cfRule>
    <cfRule type="cellIs" dxfId="5" priority="2" operator="equal">
      <formula>"Complete"</formula>
    </cfRule>
  </conditionalFormatting>
  <conditionalFormatting sqref="K9:K36">
    <cfRule type="cellIs" dxfId="4" priority="3" operator="equal">
      <formula>"Duplicate"</formula>
    </cfRule>
  </conditionalFormatting>
  <conditionalFormatting sqref="L9:L36">
    <cfRule type="cellIs" dxfId="3" priority="4" operator="equal">
      <formula>"Check"</formula>
    </cfRule>
    <cfRule type="cellIs" dxfId="2" priority="5" operator="equal">
      <formula>"Blank"</formula>
    </cfRule>
  </conditionalFormatting>
  <printOptions horizontalCentered="1"/>
  <pageMargins left="0.4" right="0.4" top="0.5" bottom="0.5" header="0.5" footer="0.5"/>
  <pageSetup fitToHeight="0" orientation="landscape"/>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C8AA5"/>
    <pageSetUpPr fitToPage="1"/>
  </sheetPr>
  <dimension ref="B1:F51"/>
  <sheetViews>
    <sheetView showGridLines="0" workbookViewId="0">
      <pane ySplit="5" topLeftCell="A6" activePane="bottomLeft" state="frozen"/>
      <selection pane="bottomLeft"/>
    </sheetView>
  </sheetViews>
  <sheetFormatPr defaultRowHeight="16.05" customHeight="1" x14ac:dyDescent="0.3"/>
  <cols>
    <col min="1" max="1" width="2" customWidth="1"/>
    <col min="2" max="2" width="7" customWidth="1"/>
    <col min="3" max="3" width="22" customWidth="1"/>
    <col min="4" max="4" width="36" customWidth="1"/>
    <col min="5" max="5" width="38" customWidth="1"/>
    <col min="6" max="6" width="110" customWidth="1"/>
  </cols>
  <sheetData>
    <row r="1" spans="2:6" ht="34.049999999999997" customHeight="1" x14ac:dyDescent="0.3">
      <c r="B1" s="53" t="s">
        <v>850</v>
      </c>
      <c r="C1" s="53"/>
      <c r="D1" s="53"/>
      <c r="E1" s="53"/>
      <c r="F1" s="53"/>
    </row>
    <row r="2" spans="2:6" ht="22.05" customHeight="1" x14ac:dyDescent="0.3">
      <c r="B2" s="51" t="s">
        <v>851</v>
      </c>
      <c r="C2" s="51"/>
      <c r="D2" s="51"/>
      <c r="E2" s="51"/>
      <c r="F2" s="51"/>
    </row>
    <row r="3" spans="2:6" ht="30" customHeight="1" x14ac:dyDescent="0.3">
      <c r="B3" s="86" t="s">
        <v>852</v>
      </c>
      <c r="C3" s="86"/>
      <c r="D3" s="86"/>
      <c r="E3" s="86"/>
      <c r="F3" s="86"/>
    </row>
    <row r="4" spans="2:6" ht="6" customHeight="1" x14ac:dyDescent="0.3"/>
    <row r="5" spans="2:6" ht="24" customHeight="1" x14ac:dyDescent="0.3">
      <c r="B5" s="21" t="s">
        <v>853</v>
      </c>
      <c r="C5" s="21" t="s">
        <v>112</v>
      </c>
      <c r="D5" s="21" t="s">
        <v>854</v>
      </c>
      <c r="E5" s="21" t="s">
        <v>855</v>
      </c>
      <c r="F5" s="21" t="s">
        <v>856</v>
      </c>
    </row>
    <row r="6" spans="2:6" ht="64.05" customHeight="1" x14ac:dyDescent="0.3">
      <c r="B6" s="39" t="s">
        <v>857</v>
      </c>
      <c r="C6" s="40" t="s">
        <v>858</v>
      </c>
      <c r="D6" s="41" t="s">
        <v>859</v>
      </c>
      <c r="E6" s="40" t="s">
        <v>860</v>
      </c>
      <c r="F6" s="40" t="s">
        <v>861</v>
      </c>
    </row>
    <row r="7" spans="2:6" ht="51" customHeight="1" x14ac:dyDescent="0.3">
      <c r="B7" s="39" t="s">
        <v>862</v>
      </c>
      <c r="C7" s="40" t="s">
        <v>858</v>
      </c>
      <c r="D7" s="41" t="s">
        <v>863</v>
      </c>
      <c r="E7" s="40" t="s">
        <v>864</v>
      </c>
      <c r="F7" s="40" t="s">
        <v>865</v>
      </c>
    </row>
    <row r="8" spans="2:6" ht="51" customHeight="1" x14ac:dyDescent="0.3">
      <c r="B8" s="39" t="s">
        <v>866</v>
      </c>
      <c r="C8" s="40" t="s">
        <v>858</v>
      </c>
      <c r="D8" s="41" t="s">
        <v>867</v>
      </c>
      <c r="E8" s="40" t="s">
        <v>868</v>
      </c>
      <c r="F8" s="40" t="s">
        <v>869</v>
      </c>
    </row>
    <row r="9" spans="2:6" ht="64.05" customHeight="1" x14ac:dyDescent="0.3">
      <c r="B9" s="39" t="s">
        <v>870</v>
      </c>
      <c r="C9" s="40" t="s">
        <v>871</v>
      </c>
      <c r="D9" s="41" t="s">
        <v>872</v>
      </c>
      <c r="E9" s="40" t="s">
        <v>873</v>
      </c>
      <c r="F9" s="40" t="s">
        <v>874</v>
      </c>
    </row>
    <row r="10" spans="2:6" ht="51" customHeight="1" x14ac:dyDescent="0.3">
      <c r="B10" s="39" t="s">
        <v>875</v>
      </c>
      <c r="C10" s="40" t="s">
        <v>871</v>
      </c>
      <c r="D10" s="41" t="s">
        <v>876</v>
      </c>
      <c r="E10" s="40" t="s">
        <v>877</v>
      </c>
      <c r="F10" s="40" t="s">
        <v>878</v>
      </c>
    </row>
    <row r="11" spans="2:6" ht="64.05" customHeight="1" x14ac:dyDescent="0.3">
      <c r="B11" s="39" t="s">
        <v>879</v>
      </c>
      <c r="C11" s="40" t="s">
        <v>871</v>
      </c>
      <c r="D11" s="41" t="s">
        <v>880</v>
      </c>
      <c r="E11" s="40" t="s">
        <v>881</v>
      </c>
      <c r="F11" s="40" t="s">
        <v>882</v>
      </c>
    </row>
    <row r="12" spans="2:6" ht="64.05" customHeight="1" x14ac:dyDescent="0.3">
      <c r="B12" s="39" t="s">
        <v>883</v>
      </c>
      <c r="C12" s="40" t="s">
        <v>884</v>
      </c>
      <c r="D12" s="41" t="s">
        <v>885</v>
      </c>
      <c r="E12" s="40" t="s">
        <v>886</v>
      </c>
      <c r="F12" s="40" t="s">
        <v>887</v>
      </c>
    </row>
    <row r="13" spans="2:6" ht="64.05" customHeight="1" x14ac:dyDescent="0.3">
      <c r="B13" s="39" t="s">
        <v>888</v>
      </c>
      <c r="C13" s="40" t="s">
        <v>884</v>
      </c>
      <c r="D13" s="41" t="s">
        <v>889</v>
      </c>
      <c r="E13" s="40" t="s">
        <v>890</v>
      </c>
      <c r="F13" s="40" t="s">
        <v>891</v>
      </c>
    </row>
    <row r="14" spans="2:6" ht="64.05" customHeight="1" x14ac:dyDescent="0.3">
      <c r="B14" s="39" t="s">
        <v>892</v>
      </c>
      <c r="C14" s="40" t="s">
        <v>893</v>
      </c>
      <c r="D14" s="41" t="s">
        <v>894</v>
      </c>
      <c r="E14" s="40" t="s">
        <v>895</v>
      </c>
      <c r="F14" s="40" t="s">
        <v>896</v>
      </c>
    </row>
    <row r="15" spans="2:6" ht="64.05" customHeight="1" x14ac:dyDescent="0.3">
      <c r="B15" s="39" t="s">
        <v>897</v>
      </c>
      <c r="C15" s="40" t="s">
        <v>893</v>
      </c>
      <c r="D15" s="41" t="s">
        <v>898</v>
      </c>
      <c r="E15" s="40" t="s">
        <v>899</v>
      </c>
      <c r="F15" s="40" t="s">
        <v>900</v>
      </c>
    </row>
    <row r="16" spans="2:6" ht="64.05" customHeight="1" x14ac:dyDescent="0.3">
      <c r="B16" s="39" t="s">
        <v>901</v>
      </c>
      <c r="C16" s="40" t="s">
        <v>893</v>
      </c>
      <c r="D16" s="41" t="s">
        <v>902</v>
      </c>
      <c r="E16" s="40" t="s">
        <v>903</v>
      </c>
      <c r="F16" s="40" t="s">
        <v>904</v>
      </c>
    </row>
    <row r="17" spans="2:6" ht="64.05" customHeight="1" x14ac:dyDescent="0.3">
      <c r="B17" s="39" t="s">
        <v>905</v>
      </c>
      <c r="C17" s="40" t="s">
        <v>906</v>
      </c>
      <c r="D17" s="41" t="s">
        <v>907</v>
      </c>
      <c r="E17" s="40" t="s">
        <v>908</v>
      </c>
      <c r="F17" s="40" t="s">
        <v>909</v>
      </c>
    </row>
    <row r="18" spans="2:6" ht="51" customHeight="1" x14ac:dyDescent="0.3">
      <c r="B18" s="39" t="s">
        <v>910</v>
      </c>
      <c r="C18" s="40" t="s">
        <v>906</v>
      </c>
      <c r="D18" s="41" t="s">
        <v>911</v>
      </c>
      <c r="E18" s="40" t="s">
        <v>912</v>
      </c>
      <c r="F18" s="40" t="s">
        <v>913</v>
      </c>
    </row>
    <row r="19" spans="2:6" ht="64.05" customHeight="1" x14ac:dyDescent="0.3">
      <c r="B19" s="39" t="s">
        <v>914</v>
      </c>
      <c r="C19" s="40" t="s">
        <v>915</v>
      </c>
      <c r="D19" s="41" t="s">
        <v>916</v>
      </c>
      <c r="E19" s="40" t="s">
        <v>917</v>
      </c>
      <c r="F19" s="40" t="s">
        <v>918</v>
      </c>
    </row>
    <row r="20" spans="2:6" ht="64.05" customHeight="1" x14ac:dyDescent="0.3">
      <c r="B20" s="39" t="s">
        <v>919</v>
      </c>
      <c r="C20" s="40" t="s">
        <v>915</v>
      </c>
      <c r="D20" s="41" t="s">
        <v>920</v>
      </c>
      <c r="E20" s="40" t="s">
        <v>921</v>
      </c>
      <c r="F20" s="40" t="s">
        <v>922</v>
      </c>
    </row>
    <row r="21" spans="2:6" ht="51" customHeight="1" x14ac:dyDescent="0.3">
      <c r="B21" s="39" t="s">
        <v>923</v>
      </c>
      <c r="C21" s="40" t="s">
        <v>915</v>
      </c>
      <c r="D21" s="41" t="s">
        <v>924</v>
      </c>
      <c r="E21" s="40" t="s">
        <v>925</v>
      </c>
      <c r="F21" s="40" t="s">
        <v>926</v>
      </c>
    </row>
    <row r="22" spans="2:6" ht="64.05" customHeight="1" x14ac:dyDescent="0.3">
      <c r="B22" s="39" t="s">
        <v>927</v>
      </c>
      <c r="C22" s="40" t="s">
        <v>928</v>
      </c>
      <c r="D22" s="41" t="s">
        <v>929</v>
      </c>
      <c r="E22" s="40" t="s">
        <v>930</v>
      </c>
      <c r="F22" s="40" t="s">
        <v>931</v>
      </c>
    </row>
    <row r="23" spans="2:6" ht="64.05" customHeight="1" x14ac:dyDescent="0.3">
      <c r="B23" s="39" t="s">
        <v>932</v>
      </c>
      <c r="C23" s="40" t="s">
        <v>928</v>
      </c>
      <c r="D23" s="41" t="s">
        <v>933</v>
      </c>
      <c r="E23" s="40" t="s">
        <v>934</v>
      </c>
      <c r="F23" s="40" t="s">
        <v>935</v>
      </c>
    </row>
    <row r="24" spans="2:6" ht="51" customHeight="1" x14ac:dyDescent="0.3">
      <c r="B24" s="39" t="s">
        <v>936</v>
      </c>
      <c r="C24" s="40" t="s">
        <v>928</v>
      </c>
      <c r="D24" s="41" t="s">
        <v>937</v>
      </c>
      <c r="E24" s="40" t="s">
        <v>938</v>
      </c>
      <c r="F24" s="40" t="s">
        <v>939</v>
      </c>
    </row>
    <row r="25" spans="2:6" ht="64.05" customHeight="1" x14ac:dyDescent="0.3">
      <c r="B25" s="39" t="s">
        <v>940</v>
      </c>
      <c r="C25" s="40" t="s">
        <v>941</v>
      </c>
      <c r="D25" s="41" t="s">
        <v>942</v>
      </c>
      <c r="E25" s="40" t="s">
        <v>943</v>
      </c>
      <c r="F25" s="40" t="s">
        <v>944</v>
      </c>
    </row>
    <row r="26" spans="2:6" ht="51" customHeight="1" x14ac:dyDescent="0.3">
      <c r="B26" s="39" t="s">
        <v>945</v>
      </c>
      <c r="C26" s="40" t="s">
        <v>941</v>
      </c>
      <c r="D26" s="41" t="s">
        <v>946</v>
      </c>
      <c r="E26" s="40" t="s">
        <v>947</v>
      </c>
      <c r="F26" s="40" t="s">
        <v>948</v>
      </c>
    </row>
    <row r="27" spans="2:6" ht="51" customHeight="1" x14ac:dyDescent="0.3">
      <c r="B27" s="39" t="s">
        <v>949</v>
      </c>
      <c r="C27" s="40" t="s">
        <v>941</v>
      </c>
      <c r="D27" s="41" t="s">
        <v>950</v>
      </c>
      <c r="E27" s="40" t="s">
        <v>951</v>
      </c>
      <c r="F27" s="40" t="s">
        <v>952</v>
      </c>
    </row>
    <row r="28" spans="2:6" ht="64.05" customHeight="1" x14ac:dyDescent="0.3">
      <c r="B28" s="39" t="s">
        <v>953</v>
      </c>
      <c r="C28" s="40" t="s">
        <v>954</v>
      </c>
      <c r="D28" s="41" t="s">
        <v>955</v>
      </c>
      <c r="E28" s="40" t="s">
        <v>956</v>
      </c>
      <c r="F28" s="40" t="s">
        <v>957</v>
      </c>
    </row>
    <row r="29" spans="2:6" ht="51" customHeight="1" x14ac:dyDescent="0.3">
      <c r="B29" s="39" t="s">
        <v>958</v>
      </c>
      <c r="C29" s="40" t="s">
        <v>954</v>
      </c>
      <c r="D29" s="41" t="s">
        <v>959</v>
      </c>
      <c r="E29" s="40" t="s">
        <v>960</v>
      </c>
      <c r="F29" s="40" t="s">
        <v>961</v>
      </c>
    </row>
    <row r="30" spans="2:6" ht="64.05" customHeight="1" x14ac:dyDescent="0.3">
      <c r="B30" s="39" t="s">
        <v>962</v>
      </c>
      <c r="C30" s="40" t="s">
        <v>963</v>
      </c>
      <c r="D30" s="41" t="s">
        <v>964</v>
      </c>
      <c r="E30" s="40" t="s">
        <v>965</v>
      </c>
      <c r="F30" s="40" t="s">
        <v>966</v>
      </c>
    </row>
    <row r="31" spans="2:6" ht="64.05" customHeight="1" x14ac:dyDescent="0.3">
      <c r="B31" s="39" t="s">
        <v>967</v>
      </c>
      <c r="C31" s="40" t="s">
        <v>963</v>
      </c>
      <c r="D31" s="41" t="s">
        <v>968</v>
      </c>
      <c r="E31" s="40" t="s">
        <v>969</v>
      </c>
      <c r="F31" s="40" t="s">
        <v>970</v>
      </c>
    </row>
    <row r="32" spans="2:6" ht="64.05" customHeight="1" x14ac:dyDescent="0.3">
      <c r="B32" s="39" t="s">
        <v>971</v>
      </c>
      <c r="C32" s="40" t="s">
        <v>963</v>
      </c>
      <c r="D32" s="41" t="s">
        <v>972</v>
      </c>
      <c r="E32" s="40" t="s">
        <v>973</v>
      </c>
      <c r="F32" s="40" t="s">
        <v>974</v>
      </c>
    </row>
    <row r="33" spans="2:6" ht="64.05" customHeight="1" x14ac:dyDescent="0.3">
      <c r="B33" s="39" t="s">
        <v>975</v>
      </c>
      <c r="C33" s="40" t="s">
        <v>39</v>
      </c>
      <c r="D33" s="41" t="s">
        <v>976</v>
      </c>
      <c r="E33" s="40" t="s">
        <v>977</v>
      </c>
      <c r="F33" s="40" t="s">
        <v>978</v>
      </c>
    </row>
    <row r="34" spans="2:6" ht="51" customHeight="1" x14ac:dyDescent="0.3">
      <c r="B34" s="39" t="s">
        <v>979</v>
      </c>
      <c r="C34" s="40" t="s">
        <v>39</v>
      </c>
      <c r="D34" s="41" t="s">
        <v>980</v>
      </c>
      <c r="E34" s="40" t="s">
        <v>981</v>
      </c>
      <c r="F34" s="40" t="s">
        <v>982</v>
      </c>
    </row>
    <row r="35" spans="2:6" ht="64.05" customHeight="1" x14ac:dyDescent="0.3">
      <c r="B35" s="39" t="s">
        <v>983</v>
      </c>
      <c r="C35" s="40" t="s">
        <v>39</v>
      </c>
      <c r="D35" s="41" t="s">
        <v>984</v>
      </c>
      <c r="E35" s="40" t="s">
        <v>985</v>
      </c>
      <c r="F35" s="40" t="s">
        <v>986</v>
      </c>
    </row>
    <row r="36" spans="2:6" ht="64.05" customHeight="1" x14ac:dyDescent="0.3">
      <c r="B36" s="39" t="s">
        <v>987</v>
      </c>
      <c r="C36" s="40" t="s">
        <v>988</v>
      </c>
      <c r="D36" s="41" t="s">
        <v>989</v>
      </c>
      <c r="E36" s="40" t="s">
        <v>990</v>
      </c>
      <c r="F36" s="40" t="s">
        <v>991</v>
      </c>
    </row>
    <row r="37" spans="2:6" ht="51" customHeight="1" x14ac:dyDescent="0.3">
      <c r="B37" s="39" t="s">
        <v>992</v>
      </c>
      <c r="C37" s="40" t="s">
        <v>988</v>
      </c>
      <c r="D37" s="41" t="s">
        <v>993</v>
      </c>
      <c r="E37" s="40" t="s">
        <v>994</v>
      </c>
      <c r="F37" s="40" t="s">
        <v>995</v>
      </c>
    </row>
    <row r="38" spans="2:6" ht="64.05" customHeight="1" x14ac:dyDescent="0.3">
      <c r="B38" s="39" t="s">
        <v>996</v>
      </c>
      <c r="C38" s="40" t="s">
        <v>997</v>
      </c>
      <c r="D38" s="41" t="s">
        <v>998</v>
      </c>
      <c r="E38" s="40" t="s">
        <v>999</v>
      </c>
      <c r="F38" s="40" t="s">
        <v>1000</v>
      </c>
    </row>
    <row r="39" spans="2:6" ht="64.05" customHeight="1" x14ac:dyDescent="0.3">
      <c r="B39" s="39" t="s">
        <v>1001</v>
      </c>
      <c r="C39" s="40" t="s">
        <v>997</v>
      </c>
      <c r="D39" s="41" t="s">
        <v>1002</v>
      </c>
      <c r="E39" s="40" t="s">
        <v>1003</v>
      </c>
      <c r="F39" s="40" t="s">
        <v>1004</v>
      </c>
    </row>
    <row r="40" spans="2:6" ht="64.05" customHeight="1" x14ac:dyDescent="0.3">
      <c r="B40" s="39" t="s">
        <v>1005</v>
      </c>
      <c r="C40" s="40" t="s">
        <v>1006</v>
      </c>
      <c r="D40" s="41" t="s">
        <v>1007</v>
      </c>
      <c r="E40" s="40" t="s">
        <v>1008</v>
      </c>
      <c r="F40" s="40" t="s">
        <v>1009</v>
      </c>
    </row>
    <row r="41" spans="2:6" ht="64.05" customHeight="1" x14ac:dyDescent="0.3">
      <c r="B41" s="39" t="s">
        <v>1010</v>
      </c>
      <c r="C41" s="40" t="s">
        <v>1006</v>
      </c>
      <c r="D41" s="41" t="s">
        <v>1011</v>
      </c>
      <c r="E41" s="40" t="s">
        <v>1012</v>
      </c>
      <c r="F41" s="40" t="s">
        <v>1013</v>
      </c>
    </row>
    <row r="42" spans="2:6" ht="51" customHeight="1" x14ac:dyDescent="0.3">
      <c r="B42" s="39" t="s">
        <v>1014</v>
      </c>
      <c r="C42" s="40" t="s">
        <v>1015</v>
      </c>
      <c r="D42" s="41" t="s">
        <v>1016</v>
      </c>
      <c r="E42" s="40" t="s">
        <v>1017</v>
      </c>
      <c r="F42" s="40" t="s">
        <v>1018</v>
      </c>
    </row>
    <row r="43" spans="2:6" ht="64.05" customHeight="1" x14ac:dyDescent="0.3">
      <c r="B43" s="39" t="s">
        <v>1019</v>
      </c>
      <c r="C43" s="40" t="s">
        <v>1015</v>
      </c>
      <c r="D43" s="41" t="s">
        <v>1020</v>
      </c>
      <c r="E43" s="40" t="s">
        <v>1021</v>
      </c>
      <c r="F43" s="40" t="s">
        <v>1022</v>
      </c>
    </row>
    <row r="44" spans="2:6" ht="64.05" customHeight="1" x14ac:dyDescent="0.3">
      <c r="B44" s="39" t="s">
        <v>1023</v>
      </c>
      <c r="C44" s="40" t="s">
        <v>1015</v>
      </c>
      <c r="D44" s="41" t="s">
        <v>1024</v>
      </c>
      <c r="E44" s="40" t="s">
        <v>1025</v>
      </c>
      <c r="F44" s="40" t="s">
        <v>1026</v>
      </c>
    </row>
    <row r="45" spans="2:6" ht="64.05" customHeight="1" x14ac:dyDescent="0.3">
      <c r="B45" s="39" t="s">
        <v>1027</v>
      </c>
      <c r="C45" s="40" t="s">
        <v>1028</v>
      </c>
      <c r="D45" s="41" t="s">
        <v>1029</v>
      </c>
      <c r="E45" s="40" t="s">
        <v>1030</v>
      </c>
      <c r="F45" s="40" t="s">
        <v>1031</v>
      </c>
    </row>
    <row r="46" spans="2:6" ht="64.05" customHeight="1" x14ac:dyDescent="0.3">
      <c r="B46" s="39" t="s">
        <v>1032</v>
      </c>
      <c r="C46" s="40" t="s">
        <v>1028</v>
      </c>
      <c r="D46" s="41" t="s">
        <v>1033</v>
      </c>
      <c r="E46" s="40" t="s">
        <v>1034</v>
      </c>
      <c r="F46" s="40" t="s">
        <v>1035</v>
      </c>
    </row>
    <row r="47" spans="2:6" ht="64.05" customHeight="1" x14ac:dyDescent="0.3">
      <c r="B47" s="39" t="s">
        <v>1036</v>
      </c>
      <c r="C47" s="40" t="s">
        <v>1037</v>
      </c>
      <c r="D47" s="41" t="s">
        <v>1038</v>
      </c>
      <c r="E47" s="40" t="s">
        <v>1039</v>
      </c>
      <c r="F47" s="40" t="s">
        <v>1040</v>
      </c>
    </row>
    <row r="48" spans="2:6" ht="64.05" customHeight="1" x14ac:dyDescent="0.3">
      <c r="B48" s="39" t="s">
        <v>1041</v>
      </c>
      <c r="C48" s="40" t="s">
        <v>1037</v>
      </c>
      <c r="D48" s="41" t="s">
        <v>1042</v>
      </c>
      <c r="E48" s="40" t="s">
        <v>1043</v>
      </c>
      <c r="F48" s="40" t="s">
        <v>1044</v>
      </c>
    </row>
    <row r="49" spans="2:6" ht="64.05" customHeight="1" x14ac:dyDescent="0.3">
      <c r="B49" s="39" t="s">
        <v>1045</v>
      </c>
      <c r="C49" s="40" t="s">
        <v>1046</v>
      </c>
      <c r="D49" s="41" t="s">
        <v>1047</v>
      </c>
      <c r="E49" s="40" t="s">
        <v>1048</v>
      </c>
      <c r="F49" s="40" t="s">
        <v>1049</v>
      </c>
    </row>
    <row r="50" spans="2:6" ht="64.05" customHeight="1" x14ac:dyDescent="0.3">
      <c r="B50" s="39" t="s">
        <v>1050</v>
      </c>
      <c r="C50" s="40" t="s">
        <v>1046</v>
      </c>
      <c r="D50" s="41" t="s">
        <v>1051</v>
      </c>
      <c r="E50" s="40" t="s">
        <v>1052</v>
      </c>
      <c r="F50" s="40" t="s">
        <v>1053</v>
      </c>
    </row>
    <row r="51" spans="2:6" ht="51" customHeight="1" x14ac:dyDescent="0.3">
      <c r="B51" s="39" t="s">
        <v>1054</v>
      </c>
      <c r="C51" s="40" t="s">
        <v>1046</v>
      </c>
      <c r="D51" s="41" t="s">
        <v>1055</v>
      </c>
      <c r="E51" s="40" t="s">
        <v>1056</v>
      </c>
      <c r="F51" s="40" t="s">
        <v>1057</v>
      </c>
    </row>
  </sheetData>
  <mergeCells count="3">
    <mergeCell ref="B2:F2"/>
    <mergeCell ref="B1:F1"/>
    <mergeCell ref="B3:F3"/>
  </mergeCells>
  <printOptions horizontalCentered="1"/>
  <pageMargins left="0.4" right="0.4" top="0.5" bottom="0.5" header="0.5" footer="0.5"/>
  <pageSetup fitToHeight="0" orientation="landscape"/>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A9D8F"/>
    <pageSetUpPr fitToPage="1"/>
  </sheetPr>
  <dimension ref="B1:W175"/>
  <sheetViews>
    <sheetView showGridLines="0" workbookViewId="0">
      <pane ySplit="6" topLeftCell="A7" activePane="bottomLeft" state="frozen"/>
      <selection pane="bottomLeft"/>
    </sheetView>
  </sheetViews>
  <sheetFormatPr defaultRowHeight="16.05" customHeight="1" x14ac:dyDescent="0.3"/>
  <cols>
    <col min="1" max="1" width="2" customWidth="1"/>
    <col min="2" max="2" width="11" customWidth="1"/>
    <col min="3" max="3" width="13" customWidth="1"/>
    <col min="4" max="4" width="27" customWidth="1"/>
    <col min="5" max="5" width="26" customWidth="1"/>
    <col min="6" max="6" width="17" customWidth="1"/>
    <col min="7" max="7" width="9" customWidth="1"/>
    <col min="8" max="8" width="12" customWidth="1"/>
    <col min="9" max="9" width="13" customWidth="1"/>
    <col min="10" max="10" width="14" customWidth="1"/>
    <col min="11" max="11" width="13" customWidth="1"/>
    <col min="12" max="12" width="3" customWidth="1"/>
    <col min="13" max="13" width="26" customWidth="1"/>
    <col min="14" max="14" width="17" customWidth="1"/>
    <col min="15" max="15" width="11" customWidth="1"/>
    <col min="16" max="16" width="3" customWidth="1"/>
    <col min="17" max="17" width="11" customWidth="1"/>
    <col min="18" max="18" width="27" customWidth="1"/>
    <col min="19" max="19" width="16" customWidth="1"/>
    <col min="20" max="20" width="13" customWidth="1"/>
    <col min="21" max="21" width="14" customWidth="1"/>
    <col min="22" max="22" width="9" customWidth="1"/>
    <col min="23" max="23" width="13" customWidth="1"/>
  </cols>
  <sheetData>
    <row r="1" spans="2:23" ht="34.049999999999997" customHeight="1" x14ac:dyDescent="0.3">
      <c r="B1" s="53" t="s">
        <v>1058</v>
      </c>
      <c r="C1" s="53"/>
      <c r="D1" s="53"/>
      <c r="E1" s="53"/>
      <c r="F1" s="53"/>
      <c r="G1" s="53"/>
      <c r="H1" s="53"/>
      <c r="I1" s="53"/>
      <c r="J1" s="53"/>
      <c r="K1" s="53"/>
      <c r="L1" s="53"/>
      <c r="M1" s="53"/>
      <c r="N1" s="53"/>
      <c r="O1" s="53"/>
      <c r="P1" s="53"/>
      <c r="Q1" s="53"/>
      <c r="R1" s="53"/>
      <c r="S1" s="53"/>
      <c r="T1" s="53"/>
      <c r="U1" s="53"/>
      <c r="V1" s="53"/>
      <c r="W1" s="53"/>
    </row>
    <row r="2" spans="2:23" ht="22.05" customHeight="1" x14ac:dyDescent="0.3">
      <c r="B2" s="51" t="s">
        <v>1059</v>
      </c>
      <c r="C2" s="51"/>
      <c r="D2" s="51"/>
      <c r="E2" s="51"/>
      <c r="F2" s="51"/>
      <c r="G2" s="51"/>
      <c r="H2" s="51"/>
      <c r="I2" s="51"/>
      <c r="J2" s="51"/>
      <c r="K2" s="51"/>
      <c r="L2" s="51"/>
      <c r="M2" s="51"/>
      <c r="N2" s="51"/>
      <c r="O2" s="51"/>
      <c r="P2" s="51"/>
      <c r="Q2" s="51"/>
      <c r="R2" s="51"/>
      <c r="S2" s="51"/>
      <c r="T2" s="51"/>
      <c r="U2" s="51"/>
      <c r="V2" s="51"/>
      <c r="W2" s="51"/>
    </row>
    <row r="3" spans="2:23" ht="40.049999999999997" customHeight="1" x14ac:dyDescent="0.3">
      <c r="B3" s="64" t="s">
        <v>1060</v>
      </c>
      <c r="C3" s="64"/>
      <c r="D3" s="64"/>
      <c r="E3" s="64"/>
      <c r="F3" s="64"/>
      <c r="G3" s="64"/>
      <c r="H3" s="64"/>
      <c r="I3" s="64"/>
      <c r="J3" s="64"/>
      <c r="K3" s="64"/>
      <c r="L3" s="64"/>
      <c r="M3" s="64"/>
      <c r="N3" s="64"/>
      <c r="O3" s="64"/>
      <c r="P3" s="64"/>
      <c r="Q3" s="64"/>
      <c r="R3" s="64"/>
      <c r="S3" s="64"/>
      <c r="T3" s="64"/>
      <c r="U3" s="64"/>
      <c r="V3" s="64"/>
      <c r="W3" s="64"/>
    </row>
    <row r="5" spans="2:23" ht="19.95" customHeight="1" x14ac:dyDescent="0.3">
      <c r="B5" s="46" t="s">
        <v>1061</v>
      </c>
      <c r="C5" s="46"/>
      <c r="D5" s="46"/>
      <c r="E5" s="46"/>
      <c r="F5" s="46"/>
      <c r="G5" s="46"/>
      <c r="H5" s="46"/>
      <c r="I5" s="46"/>
      <c r="J5" s="46"/>
      <c r="K5" s="46"/>
      <c r="M5" s="46" t="s">
        <v>1062</v>
      </c>
      <c r="N5" s="46"/>
      <c r="O5" s="46"/>
      <c r="Q5" s="46" t="s">
        <v>1063</v>
      </c>
      <c r="R5" s="46"/>
      <c r="S5" s="46"/>
      <c r="T5" s="46"/>
      <c r="U5" s="46"/>
      <c r="V5" s="46"/>
      <c r="W5" s="46"/>
    </row>
    <row r="6" spans="2:23" ht="30" customHeight="1" x14ac:dyDescent="0.3">
      <c r="B6" s="21" t="s">
        <v>1064</v>
      </c>
      <c r="C6" s="21" t="s">
        <v>1065</v>
      </c>
      <c r="D6" s="21" t="s">
        <v>211</v>
      </c>
      <c r="E6" s="21" t="s">
        <v>106</v>
      </c>
      <c r="F6" s="26" t="s">
        <v>112</v>
      </c>
      <c r="G6" s="21" t="s">
        <v>1066</v>
      </c>
      <c r="H6" s="21" t="s">
        <v>1067</v>
      </c>
      <c r="I6" s="26" t="s">
        <v>1068</v>
      </c>
      <c r="J6" s="21" t="s">
        <v>117</v>
      </c>
      <c r="K6" s="21" t="s">
        <v>121</v>
      </c>
      <c r="M6" s="21" t="s">
        <v>106</v>
      </c>
      <c r="N6" s="21" t="s">
        <v>112</v>
      </c>
      <c r="O6" s="21" t="s">
        <v>1069</v>
      </c>
      <c r="Q6" s="21" t="s">
        <v>1070</v>
      </c>
      <c r="R6" s="21" t="s">
        <v>1071</v>
      </c>
      <c r="S6" s="21" t="s">
        <v>1072</v>
      </c>
      <c r="T6" s="21" t="s">
        <v>1073</v>
      </c>
      <c r="U6" s="21" t="s">
        <v>1074</v>
      </c>
      <c r="V6" s="26" t="s">
        <v>100</v>
      </c>
      <c r="W6" s="26" t="s">
        <v>107</v>
      </c>
    </row>
    <row r="7" spans="2:23" ht="14.4" x14ac:dyDescent="0.3">
      <c r="B7" s="23" t="s">
        <v>1075</v>
      </c>
      <c r="C7" s="22">
        <v>45934</v>
      </c>
      <c r="D7" s="23" t="s">
        <v>219</v>
      </c>
      <c r="E7" s="23" t="s">
        <v>1076</v>
      </c>
      <c r="F7" s="37" t="str">
        <f>IFERROR(INDEX(tblProducts[Category],MATCH(tblSales[[#This Row],[Product]],tblProducts[Product],0)),"Uncategorized")</f>
        <v>Support Plans</v>
      </c>
      <c r="G7" s="42">
        <v>5</v>
      </c>
      <c r="H7" s="24">
        <v>240</v>
      </c>
      <c r="I7" s="43">
        <f>tblSales[[#This Row],[Quantity]]*tblSales[[#This Row],[Unit Price]]</f>
        <v>1200</v>
      </c>
      <c r="J7" s="25" t="s">
        <v>102</v>
      </c>
      <c r="K7" s="25" t="s">
        <v>123</v>
      </c>
      <c r="M7" s="23" t="s">
        <v>1077</v>
      </c>
      <c r="N7" s="23" t="s">
        <v>113</v>
      </c>
      <c r="O7" s="24">
        <v>49</v>
      </c>
      <c r="Q7" s="23" t="s">
        <v>1078</v>
      </c>
      <c r="R7" s="23" t="s">
        <v>245</v>
      </c>
      <c r="S7" s="23" t="s">
        <v>729</v>
      </c>
      <c r="T7" s="23" t="s">
        <v>1079</v>
      </c>
      <c r="U7" s="22">
        <v>45730</v>
      </c>
      <c r="V7" s="44">
        <f>COUNTIFS(tblSales[Customer],tblCustomers[[#This Row],[Customer Name]],tblSales[Order Status],"&lt;&gt;Cancelled")</f>
        <v>6</v>
      </c>
      <c r="W7" s="45">
        <f>SUMIFS(tblSales[Order Total],tblSales[Customer],tblCustomers[[#This Row],[Customer Name]],tblSales[Order Status],"&lt;&gt;Cancelled")</f>
        <v>5100</v>
      </c>
    </row>
    <row r="8" spans="2:23" ht="14.4" x14ac:dyDescent="0.3">
      <c r="B8" s="23" t="s">
        <v>1080</v>
      </c>
      <c r="C8" s="22">
        <v>45934</v>
      </c>
      <c r="D8" s="23" t="s">
        <v>223</v>
      </c>
      <c r="E8" s="23" t="s">
        <v>1081</v>
      </c>
      <c r="F8" s="37" t="str">
        <f>IFERROR(INDEX(tblProducts[Category],MATCH(tblSales[[#This Row],[Product]],tblProducts[Product],0)),"Uncategorized")</f>
        <v>Consulting</v>
      </c>
      <c r="G8" s="42">
        <v>4</v>
      </c>
      <c r="H8" s="24">
        <v>650</v>
      </c>
      <c r="I8" s="43">
        <f>tblSales[[#This Row],[Quantity]]*tblSales[[#This Row],[Unit Price]]</f>
        <v>2600</v>
      </c>
      <c r="J8" s="25" t="s">
        <v>102</v>
      </c>
      <c r="K8" s="25" t="s">
        <v>123</v>
      </c>
      <c r="M8" s="23" t="s">
        <v>1082</v>
      </c>
      <c r="N8" s="23" t="s">
        <v>113</v>
      </c>
      <c r="O8" s="24">
        <v>149</v>
      </c>
      <c r="Q8" s="23" t="s">
        <v>1083</v>
      </c>
      <c r="R8" s="23" t="s">
        <v>316</v>
      </c>
      <c r="S8" s="23" t="s">
        <v>729</v>
      </c>
      <c r="T8" s="23" t="s">
        <v>1084</v>
      </c>
      <c r="U8" s="22">
        <v>45749</v>
      </c>
      <c r="V8" s="44">
        <f>COUNTIFS(tblSales[Customer],tblCustomers[[#This Row],[Customer Name]],tblSales[Order Status],"&lt;&gt;Cancelled")</f>
        <v>5</v>
      </c>
      <c r="W8" s="45">
        <f>SUMIFS(tblSales[Order Total],tblSales[Customer],tblCustomers[[#This Row],[Customer Name]],tblSales[Order Status],"&lt;&gt;Cancelled")</f>
        <v>3787</v>
      </c>
    </row>
    <row r="9" spans="2:23" ht="14.4" x14ac:dyDescent="0.3">
      <c r="B9" s="23" t="s">
        <v>1085</v>
      </c>
      <c r="C9" s="22">
        <v>45941</v>
      </c>
      <c r="D9" s="23" t="s">
        <v>227</v>
      </c>
      <c r="E9" s="23" t="s">
        <v>1086</v>
      </c>
      <c r="F9" s="37" t="str">
        <f>IFERROR(INDEX(tblProducts[Category],MATCH(tblSales[[#This Row],[Product]],tblProducts[Product],0)),"Uncategorized")</f>
        <v>Support Plans</v>
      </c>
      <c r="G9" s="42">
        <v>2</v>
      </c>
      <c r="H9" s="24">
        <v>350</v>
      </c>
      <c r="I9" s="43">
        <f>tblSales[[#This Row],[Quantity]]*tblSales[[#This Row],[Unit Price]]</f>
        <v>700</v>
      </c>
      <c r="J9" s="25" t="s">
        <v>102</v>
      </c>
      <c r="K9" s="25" t="s">
        <v>123</v>
      </c>
      <c r="M9" s="23" t="s">
        <v>1087</v>
      </c>
      <c r="N9" s="23" t="s">
        <v>114</v>
      </c>
      <c r="O9" s="24">
        <v>180</v>
      </c>
      <c r="Q9" s="23" t="s">
        <v>1088</v>
      </c>
      <c r="R9" s="23" t="s">
        <v>287</v>
      </c>
      <c r="S9" s="23" t="s">
        <v>755</v>
      </c>
      <c r="T9" s="23" t="s">
        <v>1079</v>
      </c>
      <c r="U9" s="22">
        <v>45769</v>
      </c>
      <c r="V9" s="44">
        <f>COUNTIFS(tblSales[Customer],tblCustomers[[#This Row],[Customer Name]],tblSales[Order Status],"&lt;&gt;Cancelled")</f>
        <v>2</v>
      </c>
      <c r="W9" s="45">
        <f>SUMIFS(tblSales[Order Total],tblSales[Customer],tblCustomers[[#This Row],[Customer Name]],tblSales[Order Status],"&lt;&gt;Cancelled")</f>
        <v>1780</v>
      </c>
    </row>
    <row r="10" spans="2:23" ht="14.4" x14ac:dyDescent="0.3">
      <c r="B10" s="23" t="s">
        <v>1089</v>
      </c>
      <c r="C10" s="22">
        <v>45947</v>
      </c>
      <c r="D10" s="23" t="s">
        <v>219</v>
      </c>
      <c r="E10" s="23" t="s">
        <v>1077</v>
      </c>
      <c r="F10" s="37" t="str">
        <f>IFERROR(INDEX(tblProducts[Category],MATCH(tblSales[[#This Row],[Product]],tblProducts[Product],0)),"Uncategorized")</f>
        <v>Digital Products</v>
      </c>
      <c r="G10" s="42">
        <v>1</v>
      </c>
      <c r="H10" s="24">
        <v>49</v>
      </c>
      <c r="I10" s="43">
        <f>tblSales[[#This Row],[Quantity]]*tblSales[[#This Row],[Unit Price]]</f>
        <v>49</v>
      </c>
      <c r="J10" s="25" t="s">
        <v>102</v>
      </c>
      <c r="K10" s="25" t="s">
        <v>123</v>
      </c>
      <c r="M10" s="23" t="s">
        <v>1081</v>
      </c>
      <c r="N10" s="23" t="s">
        <v>114</v>
      </c>
      <c r="O10" s="24">
        <v>650</v>
      </c>
      <c r="Q10" s="23" t="s">
        <v>1090</v>
      </c>
      <c r="R10" s="23" t="s">
        <v>219</v>
      </c>
      <c r="S10" s="23" t="s">
        <v>778</v>
      </c>
      <c r="T10" s="23" t="s">
        <v>1079</v>
      </c>
      <c r="U10" s="22">
        <v>45786</v>
      </c>
      <c r="V10" s="44">
        <f>COUNTIFS(tblSales[Customer],tblCustomers[[#This Row],[Customer Name]],tblSales[Order Status],"&lt;&gt;Cancelled")</f>
        <v>12</v>
      </c>
      <c r="W10" s="45">
        <f>SUMIFS(tblSales[Order Total],tblSales[Customer],tblCustomers[[#This Row],[Customer Name]],tblSales[Order Status],"&lt;&gt;Cancelled")</f>
        <v>7445</v>
      </c>
    </row>
    <row r="11" spans="2:23" ht="14.4" x14ac:dyDescent="0.3">
      <c r="B11" s="23" t="s">
        <v>1091</v>
      </c>
      <c r="C11" s="22">
        <v>45947</v>
      </c>
      <c r="D11" s="23" t="s">
        <v>316</v>
      </c>
      <c r="E11" s="23" t="s">
        <v>1087</v>
      </c>
      <c r="F11" s="37" t="str">
        <f>IFERROR(INDEX(tblProducts[Category],MATCH(tblSales[[#This Row],[Product]],tblProducts[Product],0)),"Uncategorized")</f>
        <v>Consulting</v>
      </c>
      <c r="G11" s="42">
        <v>1</v>
      </c>
      <c r="H11" s="24">
        <v>180</v>
      </c>
      <c r="I11" s="43">
        <f>tblSales[[#This Row],[Quantity]]*tblSales[[#This Row],[Unit Price]]</f>
        <v>180</v>
      </c>
      <c r="J11" s="25" t="s">
        <v>102</v>
      </c>
      <c r="K11" s="25" t="s">
        <v>123</v>
      </c>
      <c r="M11" s="23" t="s">
        <v>1092</v>
      </c>
      <c r="N11" s="23" t="s">
        <v>115</v>
      </c>
      <c r="O11" s="24">
        <v>900</v>
      </c>
      <c r="Q11" s="23" t="s">
        <v>1093</v>
      </c>
      <c r="R11" s="23" t="s">
        <v>304</v>
      </c>
      <c r="S11" s="23" t="s">
        <v>729</v>
      </c>
      <c r="T11" s="23" t="s">
        <v>1094</v>
      </c>
      <c r="U11" s="22">
        <v>45807</v>
      </c>
      <c r="V11" s="44">
        <f>COUNTIFS(tblSales[Customer],tblCustomers[[#This Row],[Customer Name]],tblSales[Order Status],"&lt;&gt;Cancelled")</f>
        <v>6</v>
      </c>
      <c r="W11" s="45">
        <f>SUMIFS(tblSales[Order Total],tblSales[Customer],tblCustomers[[#This Row],[Customer Name]],tblSales[Order Status],"&lt;&gt;Cancelled")</f>
        <v>3329</v>
      </c>
    </row>
    <row r="12" spans="2:23" ht="14.4" x14ac:dyDescent="0.3">
      <c r="B12" s="23" t="s">
        <v>1095</v>
      </c>
      <c r="C12" s="22">
        <v>45951</v>
      </c>
      <c r="D12" s="23" t="s">
        <v>232</v>
      </c>
      <c r="E12" s="23" t="s">
        <v>1077</v>
      </c>
      <c r="F12" s="37" t="str">
        <f>IFERROR(INDEX(tblProducts[Category],MATCH(tblSales[[#This Row],[Product]],tblProducts[Product],0)),"Uncategorized")</f>
        <v>Digital Products</v>
      </c>
      <c r="G12" s="42">
        <v>6</v>
      </c>
      <c r="H12" s="24">
        <v>49</v>
      </c>
      <c r="I12" s="43">
        <f>tblSales[[#This Row],[Quantity]]*tblSales[[#This Row],[Unit Price]]</f>
        <v>294</v>
      </c>
      <c r="J12" s="25" t="s">
        <v>102</v>
      </c>
      <c r="K12" s="25" t="s">
        <v>123</v>
      </c>
      <c r="M12" s="23" t="s">
        <v>1096</v>
      </c>
      <c r="N12" s="23" t="s">
        <v>115</v>
      </c>
      <c r="O12" s="24">
        <v>120</v>
      </c>
      <c r="Q12" s="23" t="s">
        <v>1097</v>
      </c>
      <c r="R12" s="23" t="s">
        <v>297</v>
      </c>
      <c r="S12" s="23" t="s">
        <v>787</v>
      </c>
      <c r="T12" s="23" t="s">
        <v>1098</v>
      </c>
      <c r="U12" s="22">
        <v>45819</v>
      </c>
      <c r="V12" s="44">
        <f>COUNTIFS(tblSales[Customer],tblCustomers[[#This Row],[Customer Name]],tblSales[Order Status],"&lt;&gt;Cancelled")</f>
        <v>8</v>
      </c>
      <c r="W12" s="45">
        <f>SUMIFS(tblSales[Order Total],tblSales[Customer],tblCustomers[[#This Row],[Customer Name]],tblSales[Order Status],"&lt;&gt;Cancelled")</f>
        <v>5934</v>
      </c>
    </row>
    <row r="13" spans="2:23" ht="14.4" x14ac:dyDescent="0.3">
      <c r="B13" s="23" t="s">
        <v>1099</v>
      </c>
      <c r="C13" s="22">
        <v>45958</v>
      </c>
      <c r="D13" s="23" t="s">
        <v>232</v>
      </c>
      <c r="E13" s="23" t="s">
        <v>1096</v>
      </c>
      <c r="F13" s="37" t="str">
        <f>IFERROR(INDEX(tblProducts[Category],MATCH(tblSales[[#This Row],[Product]],tblProducts[Product],0)),"Uncategorized")</f>
        <v>Training</v>
      </c>
      <c r="G13" s="42">
        <v>5</v>
      </c>
      <c r="H13" s="24">
        <v>120</v>
      </c>
      <c r="I13" s="43">
        <f>tblSales[[#This Row],[Quantity]]*tblSales[[#This Row],[Unit Price]]</f>
        <v>600</v>
      </c>
      <c r="J13" s="25" t="s">
        <v>102</v>
      </c>
      <c r="K13" s="25" t="s">
        <v>123</v>
      </c>
      <c r="M13" s="23" t="s">
        <v>1086</v>
      </c>
      <c r="N13" s="23" t="s">
        <v>116</v>
      </c>
      <c r="O13" s="24">
        <v>350</v>
      </c>
      <c r="Q13" s="23" t="s">
        <v>1100</v>
      </c>
      <c r="R13" s="23" t="s">
        <v>338</v>
      </c>
      <c r="S13" s="23" t="s">
        <v>729</v>
      </c>
      <c r="T13" s="23" t="s">
        <v>1079</v>
      </c>
      <c r="U13" s="22">
        <v>45835</v>
      </c>
      <c r="V13" s="44">
        <f>COUNTIFS(tblSales[Customer],tblCustomers[[#This Row],[Customer Name]],tblSales[Order Status],"&lt;&gt;Cancelled")</f>
        <v>6</v>
      </c>
      <c r="W13" s="45">
        <f>SUMIFS(tblSales[Order Total],tblSales[Customer],tblCustomers[[#This Row],[Customer Name]],tblSales[Order Status],"&lt;&gt;Cancelled")</f>
        <v>5275</v>
      </c>
    </row>
    <row r="14" spans="2:23" ht="14.4" x14ac:dyDescent="0.3">
      <c r="B14" s="23" t="s">
        <v>1101</v>
      </c>
      <c r="C14" s="22">
        <v>45959</v>
      </c>
      <c r="D14" s="23" t="s">
        <v>338</v>
      </c>
      <c r="E14" s="23" t="s">
        <v>1082</v>
      </c>
      <c r="F14" s="37" t="str">
        <f>IFERROR(INDEX(tblProducts[Category],MATCH(tblSales[[#This Row],[Product]],tblProducts[Product],0)),"Uncategorized")</f>
        <v>Digital Products</v>
      </c>
      <c r="G14" s="42">
        <v>3</v>
      </c>
      <c r="H14" s="24">
        <v>149</v>
      </c>
      <c r="I14" s="43">
        <f>tblSales[[#This Row],[Quantity]]*tblSales[[#This Row],[Unit Price]]</f>
        <v>447</v>
      </c>
      <c r="J14" s="25" t="s">
        <v>102</v>
      </c>
      <c r="K14" s="25" t="s">
        <v>123</v>
      </c>
      <c r="M14" s="23" t="s">
        <v>1076</v>
      </c>
      <c r="N14" s="23" t="s">
        <v>116</v>
      </c>
      <c r="O14" s="24">
        <v>240</v>
      </c>
      <c r="Q14" s="23" t="s">
        <v>1102</v>
      </c>
      <c r="R14" s="23" t="s">
        <v>232</v>
      </c>
      <c r="S14" s="23" t="s">
        <v>753</v>
      </c>
      <c r="T14" s="23" t="s">
        <v>1098</v>
      </c>
      <c r="U14" s="22">
        <v>45846</v>
      </c>
      <c r="V14" s="44">
        <f>COUNTIFS(tblSales[Customer],tblCustomers[[#This Row],[Customer Name]],tblSales[Order Status],"&lt;&gt;Cancelled")</f>
        <v>3</v>
      </c>
      <c r="W14" s="45">
        <f>SUMIFS(tblSales[Order Total],tblSales[Customer],tblCustomers[[#This Row],[Customer Name]],tblSales[Order Status],"&lt;&gt;Cancelled")</f>
        <v>2694</v>
      </c>
    </row>
    <row r="15" spans="2:23" ht="14.4" x14ac:dyDescent="0.3">
      <c r="B15" s="23" t="s">
        <v>1103</v>
      </c>
      <c r="C15" s="22">
        <v>45961</v>
      </c>
      <c r="D15" s="23" t="s">
        <v>227</v>
      </c>
      <c r="E15" s="23" t="s">
        <v>1087</v>
      </c>
      <c r="F15" s="37" t="str">
        <f>IFERROR(INDEX(tblProducts[Category],MATCH(tblSales[[#This Row],[Product]],tblProducts[Product],0)),"Uncategorized")</f>
        <v>Consulting</v>
      </c>
      <c r="G15" s="42">
        <v>1</v>
      </c>
      <c r="H15" s="24">
        <v>180</v>
      </c>
      <c r="I15" s="43">
        <f>tblSales[[#This Row],[Quantity]]*tblSales[[#This Row],[Unit Price]]</f>
        <v>180</v>
      </c>
      <c r="J15" s="25" t="s">
        <v>102</v>
      </c>
      <c r="K15" s="25" t="s">
        <v>123</v>
      </c>
      <c r="Q15" s="23" t="s">
        <v>1104</v>
      </c>
      <c r="R15" s="23" t="s">
        <v>223</v>
      </c>
      <c r="S15" s="23" t="s">
        <v>778</v>
      </c>
      <c r="T15" s="23" t="s">
        <v>1079</v>
      </c>
      <c r="U15" s="22">
        <v>45857</v>
      </c>
      <c r="V15" s="44">
        <f>COUNTIFS(tblSales[Customer],tblCustomers[[#This Row],[Customer Name]],tblSales[Order Status],"&lt;&gt;Cancelled")</f>
        <v>9</v>
      </c>
      <c r="W15" s="45">
        <f>SUMIFS(tblSales[Order Total],tblSales[Customer],tblCustomers[[#This Row],[Customer Name]],tblSales[Order Status],"&lt;&gt;Cancelled")</f>
        <v>8511</v>
      </c>
    </row>
    <row r="16" spans="2:23" ht="14.4" x14ac:dyDescent="0.3">
      <c r="B16" s="23" t="s">
        <v>1105</v>
      </c>
      <c r="C16" s="22">
        <v>45961</v>
      </c>
      <c r="D16" s="23" t="s">
        <v>237</v>
      </c>
      <c r="E16" s="23" t="s">
        <v>1087</v>
      </c>
      <c r="F16" s="37" t="str">
        <f>IFERROR(INDEX(tblProducts[Category],MATCH(tblSales[[#This Row],[Product]],tblProducts[Product],0)),"Uncategorized")</f>
        <v>Consulting</v>
      </c>
      <c r="G16" s="42">
        <v>3</v>
      </c>
      <c r="H16" s="24">
        <v>180</v>
      </c>
      <c r="I16" s="43">
        <f>tblSales[[#This Row],[Quantity]]*tblSales[[#This Row],[Unit Price]]</f>
        <v>540</v>
      </c>
      <c r="J16" s="25" t="s">
        <v>102</v>
      </c>
      <c r="K16" s="25" t="s">
        <v>123</v>
      </c>
      <c r="Q16" s="23" t="s">
        <v>1106</v>
      </c>
      <c r="R16" s="23" t="s">
        <v>300</v>
      </c>
      <c r="S16" s="23" t="s">
        <v>729</v>
      </c>
      <c r="T16" s="23" t="s">
        <v>1094</v>
      </c>
      <c r="U16" s="22">
        <v>45874</v>
      </c>
      <c r="V16" s="44">
        <f>COUNTIFS(tblSales[Customer],tblCustomers[[#This Row],[Customer Name]],tblSales[Order Status],"&lt;&gt;Cancelled")</f>
        <v>7</v>
      </c>
      <c r="W16" s="45">
        <f>SUMIFS(tblSales[Order Total],tblSales[Customer],tblCustomers[[#This Row],[Customer Name]],tblSales[Order Status],"&lt;&gt;Cancelled")</f>
        <v>5440</v>
      </c>
    </row>
    <row r="17" spans="2:23" ht="14.4" x14ac:dyDescent="0.3">
      <c r="B17" s="23" t="s">
        <v>1107</v>
      </c>
      <c r="C17" s="22">
        <v>45962</v>
      </c>
      <c r="D17" s="23" t="s">
        <v>237</v>
      </c>
      <c r="E17" s="23" t="s">
        <v>1087</v>
      </c>
      <c r="F17" s="37" t="str">
        <f>IFERROR(INDEX(tblProducts[Category],MATCH(tblSales[[#This Row],[Product]],tblProducts[Product],0)),"Uncategorized")</f>
        <v>Consulting</v>
      </c>
      <c r="G17" s="42">
        <v>4</v>
      </c>
      <c r="H17" s="24">
        <v>180</v>
      </c>
      <c r="I17" s="43">
        <f>tblSales[[#This Row],[Quantity]]*tblSales[[#This Row],[Unit Price]]</f>
        <v>720</v>
      </c>
      <c r="J17" s="25" t="s">
        <v>102</v>
      </c>
      <c r="K17" s="25" t="s">
        <v>123</v>
      </c>
      <c r="Q17" s="23" t="s">
        <v>1108</v>
      </c>
      <c r="R17" s="23" t="s">
        <v>307</v>
      </c>
      <c r="S17" s="23" t="s">
        <v>755</v>
      </c>
      <c r="T17" s="23" t="s">
        <v>1079</v>
      </c>
      <c r="U17" s="22">
        <v>45890</v>
      </c>
      <c r="V17" s="44">
        <f>COUNTIFS(tblSales[Customer],tblCustomers[[#This Row],[Customer Name]],tblSales[Order Status],"&lt;&gt;Cancelled")</f>
        <v>9</v>
      </c>
      <c r="W17" s="45">
        <f>SUMIFS(tblSales[Order Total],tblSales[Customer],tblCustomers[[#This Row],[Customer Name]],tblSales[Order Status],"&lt;&gt;Cancelled")</f>
        <v>5382</v>
      </c>
    </row>
    <row r="18" spans="2:23" ht="14.4" x14ac:dyDescent="0.3">
      <c r="B18" s="23" t="s">
        <v>1109</v>
      </c>
      <c r="C18" s="22">
        <v>45966</v>
      </c>
      <c r="D18" s="23" t="s">
        <v>338</v>
      </c>
      <c r="E18" s="23" t="s">
        <v>1077</v>
      </c>
      <c r="F18" s="37" t="str">
        <f>IFERROR(INDEX(tblProducts[Category],MATCH(tblSales[[#This Row],[Product]],tblProducts[Product],0)),"Uncategorized")</f>
        <v>Digital Products</v>
      </c>
      <c r="G18" s="42">
        <v>5</v>
      </c>
      <c r="H18" s="24">
        <v>49</v>
      </c>
      <c r="I18" s="43">
        <f>tblSales[[#This Row],[Quantity]]*tblSales[[#This Row],[Unit Price]]</f>
        <v>245</v>
      </c>
      <c r="J18" s="25" t="s">
        <v>102</v>
      </c>
      <c r="K18" s="25" t="s">
        <v>123</v>
      </c>
      <c r="Q18" s="23" t="s">
        <v>1110</v>
      </c>
      <c r="R18" s="23" t="s">
        <v>237</v>
      </c>
      <c r="S18" s="23" t="s">
        <v>729</v>
      </c>
      <c r="T18" s="23" t="s">
        <v>1079</v>
      </c>
      <c r="U18" s="22">
        <v>45903</v>
      </c>
      <c r="V18" s="44">
        <f>COUNTIFS(tblSales[Customer],tblCustomers[[#This Row],[Customer Name]],tblSales[Order Status],"&lt;&gt;Cancelled")</f>
        <v>10</v>
      </c>
      <c r="W18" s="45">
        <f>SUMIFS(tblSales[Order Total],tblSales[Customer],tblCustomers[[#This Row],[Customer Name]],tblSales[Order Status],"&lt;&gt;Cancelled")</f>
        <v>11543</v>
      </c>
    </row>
    <row r="19" spans="2:23" ht="14.4" x14ac:dyDescent="0.3">
      <c r="B19" s="23" t="s">
        <v>1111</v>
      </c>
      <c r="C19" s="22">
        <v>45971</v>
      </c>
      <c r="D19" s="23" t="s">
        <v>241</v>
      </c>
      <c r="E19" s="23" t="s">
        <v>1076</v>
      </c>
      <c r="F19" s="37" t="str">
        <f>IFERROR(INDEX(tblProducts[Category],MATCH(tblSales[[#This Row],[Product]],tblProducts[Product],0)),"Uncategorized")</f>
        <v>Support Plans</v>
      </c>
      <c r="G19" s="42">
        <v>4</v>
      </c>
      <c r="H19" s="24">
        <v>240</v>
      </c>
      <c r="I19" s="43">
        <f>tblSales[[#This Row],[Quantity]]*tblSales[[#This Row],[Unit Price]]</f>
        <v>960</v>
      </c>
      <c r="J19" s="25" t="s">
        <v>102</v>
      </c>
      <c r="K19" s="25" t="s">
        <v>123</v>
      </c>
      <c r="Q19" s="23" t="s">
        <v>1112</v>
      </c>
      <c r="R19" s="23" t="s">
        <v>227</v>
      </c>
      <c r="S19" s="23" t="s">
        <v>818</v>
      </c>
      <c r="T19" s="23" t="s">
        <v>1079</v>
      </c>
      <c r="U19" s="22">
        <v>45916</v>
      </c>
      <c r="V19" s="44">
        <f>COUNTIFS(tblSales[Customer],tblCustomers[[#This Row],[Customer Name]],tblSales[Order Status],"&lt;&gt;Cancelled")</f>
        <v>11</v>
      </c>
      <c r="W19" s="45">
        <f>SUMIFS(tblSales[Order Total],tblSales[Customer],tblCustomers[[#This Row],[Customer Name]],tblSales[Order Status],"&lt;&gt;Cancelled")</f>
        <v>8865</v>
      </c>
    </row>
    <row r="20" spans="2:23" ht="14.4" x14ac:dyDescent="0.3">
      <c r="B20" s="23" t="s">
        <v>1113</v>
      </c>
      <c r="C20" s="22">
        <v>45971</v>
      </c>
      <c r="D20" s="23" t="s">
        <v>241</v>
      </c>
      <c r="E20" s="23" t="s">
        <v>1087</v>
      </c>
      <c r="F20" s="37" t="str">
        <f>IFERROR(INDEX(tblProducts[Category],MATCH(tblSales[[#This Row],[Product]],tblProducts[Product],0)),"Uncategorized")</f>
        <v>Consulting</v>
      </c>
      <c r="G20" s="42">
        <v>3</v>
      </c>
      <c r="H20" s="24">
        <v>180</v>
      </c>
      <c r="I20" s="43">
        <f>tblSales[[#This Row],[Quantity]]*tblSales[[#This Row],[Unit Price]]</f>
        <v>540</v>
      </c>
      <c r="J20" s="25" t="s">
        <v>102</v>
      </c>
      <c r="K20" s="25" t="s">
        <v>123</v>
      </c>
      <c r="Q20" s="23" t="s">
        <v>1114</v>
      </c>
      <c r="R20" s="23" t="s">
        <v>277</v>
      </c>
      <c r="S20" s="23" t="s">
        <v>729</v>
      </c>
      <c r="T20" s="23" t="s">
        <v>1098</v>
      </c>
      <c r="U20" s="22">
        <v>45932</v>
      </c>
      <c r="V20" s="44">
        <f>COUNTIFS(tblSales[Customer],tblCustomers[[#This Row],[Customer Name]],tblSales[Order Status],"&lt;&gt;Cancelled")</f>
        <v>8</v>
      </c>
      <c r="W20" s="45">
        <f>SUMIFS(tblSales[Order Total],tblSales[Customer],tblCustomers[[#This Row],[Customer Name]],tblSales[Order Status],"&lt;&gt;Cancelled")</f>
        <v>5040</v>
      </c>
    </row>
    <row r="21" spans="2:23" ht="14.4" x14ac:dyDescent="0.3">
      <c r="B21" s="23" t="s">
        <v>1115</v>
      </c>
      <c r="C21" s="22">
        <v>45976</v>
      </c>
      <c r="D21" s="23" t="s">
        <v>277</v>
      </c>
      <c r="E21" s="23" t="s">
        <v>1092</v>
      </c>
      <c r="F21" s="37" t="str">
        <f>IFERROR(INDEX(tblProducts[Category],MATCH(tblSales[[#This Row],[Product]],tblProducts[Product],0)),"Uncategorized")</f>
        <v>Training</v>
      </c>
      <c r="G21" s="42">
        <v>2</v>
      </c>
      <c r="H21" s="24">
        <v>900</v>
      </c>
      <c r="I21" s="43">
        <f>tblSales[[#This Row],[Quantity]]*tblSales[[#This Row],[Unit Price]]</f>
        <v>1800</v>
      </c>
      <c r="J21" s="25" t="s">
        <v>1116</v>
      </c>
      <c r="K21" s="25" t="s">
        <v>126</v>
      </c>
      <c r="Q21" s="23" t="s">
        <v>1117</v>
      </c>
      <c r="R21" s="23" t="s">
        <v>267</v>
      </c>
      <c r="S21" s="23" t="s">
        <v>729</v>
      </c>
      <c r="T21" s="23" t="s">
        <v>1079</v>
      </c>
      <c r="U21" s="22">
        <v>45954</v>
      </c>
      <c r="V21" s="44">
        <f>COUNTIFS(tblSales[Customer],tblCustomers[[#This Row],[Customer Name]],tblSales[Order Status],"&lt;&gt;Cancelled")</f>
        <v>6</v>
      </c>
      <c r="W21" s="45">
        <f>SUMIFS(tblSales[Order Total],tblSales[Customer],tblCustomers[[#This Row],[Customer Name]],tblSales[Order Status],"&lt;&gt;Cancelled")</f>
        <v>6158</v>
      </c>
    </row>
    <row r="22" spans="2:23" ht="14.4" x14ac:dyDescent="0.3">
      <c r="B22" s="23" t="s">
        <v>1118</v>
      </c>
      <c r="C22" s="22">
        <v>45980</v>
      </c>
      <c r="D22" s="23" t="s">
        <v>245</v>
      </c>
      <c r="E22" s="23" t="s">
        <v>1092</v>
      </c>
      <c r="F22" s="37" t="str">
        <f>IFERROR(INDEX(tblProducts[Category],MATCH(tblSales[[#This Row],[Product]],tblProducts[Product],0)),"Uncategorized")</f>
        <v>Training</v>
      </c>
      <c r="G22" s="42">
        <v>1</v>
      </c>
      <c r="H22" s="24">
        <v>900</v>
      </c>
      <c r="I22" s="43">
        <f>tblSales[[#This Row],[Quantity]]*tblSales[[#This Row],[Unit Price]]</f>
        <v>900</v>
      </c>
      <c r="J22" s="25" t="s">
        <v>102</v>
      </c>
      <c r="K22" s="25" t="s">
        <v>123</v>
      </c>
      <c r="Q22" s="23" t="s">
        <v>1119</v>
      </c>
      <c r="R22" s="23" t="s">
        <v>241</v>
      </c>
      <c r="S22" s="23" t="s">
        <v>755</v>
      </c>
      <c r="T22" s="23" t="s">
        <v>1094</v>
      </c>
      <c r="U22" s="22">
        <v>45967</v>
      </c>
      <c r="V22" s="44">
        <f>COUNTIFS(tblSales[Customer],tblCustomers[[#This Row],[Customer Name]],tblSales[Order Status],"&lt;&gt;Cancelled")</f>
        <v>9</v>
      </c>
      <c r="W22" s="45">
        <f>SUMIFS(tblSales[Order Total],tblSales[Customer],tblCustomers[[#This Row],[Customer Name]],tblSales[Order Status],"&lt;&gt;Cancelled")</f>
        <v>7798</v>
      </c>
    </row>
    <row r="23" spans="2:23" ht="14.4" x14ac:dyDescent="0.3">
      <c r="B23" s="23" t="s">
        <v>1120</v>
      </c>
      <c r="C23" s="22">
        <v>45982</v>
      </c>
      <c r="D23" s="23" t="s">
        <v>316</v>
      </c>
      <c r="E23" s="23" t="s">
        <v>1076</v>
      </c>
      <c r="F23" s="37" t="str">
        <f>IFERROR(INDEX(tblProducts[Category],MATCH(tblSales[[#This Row],[Product]],tblProducts[Product],0)),"Uncategorized")</f>
        <v>Support Plans</v>
      </c>
      <c r="G23" s="42">
        <v>5</v>
      </c>
      <c r="H23" s="24">
        <v>240</v>
      </c>
      <c r="I23" s="43">
        <f>tblSales[[#This Row],[Quantity]]*tblSales[[#This Row],[Unit Price]]</f>
        <v>1200</v>
      </c>
      <c r="J23" s="25" t="s">
        <v>1116</v>
      </c>
      <c r="K23" s="25" t="s">
        <v>126</v>
      </c>
      <c r="Q23" s="23" t="s">
        <v>1121</v>
      </c>
      <c r="R23" s="23" t="s">
        <v>294</v>
      </c>
      <c r="S23" s="23" t="s">
        <v>753</v>
      </c>
      <c r="T23" s="23" t="s">
        <v>1079</v>
      </c>
      <c r="U23" s="22">
        <v>45981</v>
      </c>
      <c r="V23" s="44">
        <f>COUNTIFS(tblSales[Customer],tblCustomers[[#This Row],[Customer Name]],tblSales[Order Status],"&lt;&gt;Cancelled")</f>
        <v>7</v>
      </c>
      <c r="W23" s="45">
        <f>SUMIFS(tblSales[Order Total],tblSales[Customer],tblCustomers[[#This Row],[Customer Name]],tblSales[Order Status],"&lt;&gt;Cancelled")</f>
        <v>6130</v>
      </c>
    </row>
    <row r="24" spans="2:23" ht="14.4" x14ac:dyDescent="0.3">
      <c r="B24" s="23" t="s">
        <v>1122</v>
      </c>
      <c r="C24" s="22">
        <v>45984</v>
      </c>
      <c r="D24" s="23" t="s">
        <v>219</v>
      </c>
      <c r="E24" s="23" t="s">
        <v>1096</v>
      </c>
      <c r="F24" s="37" t="str">
        <f>IFERROR(INDEX(tblProducts[Category],MATCH(tblSales[[#This Row],[Product]],tblProducts[Product],0)),"Uncategorized")</f>
        <v>Training</v>
      </c>
      <c r="G24" s="42">
        <v>8</v>
      </c>
      <c r="H24" s="24">
        <v>120</v>
      </c>
      <c r="I24" s="43">
        <f>tblSales[[#This Row],[Quantity]]*tblSales[[#This Row],[Unit Price]]</f>
        <v>960</v>
      </c>
      <c r="J24" s="25" t="s">
        <v>102</v>
      </c>
      <c r="K24" s="25" t="s">
        <v>123</v>
      </c>
      <c r="Q24" s="23" t="s">
        <v>1123</v>
      </c>
      <c r="R24" s="23" t="s">
        <v>290</v>
      </c>
      <c r="S24" s="23" t="s">
        <v>778</v>
      </c>
      <c r="T24" s="23" t="s">
        <v>1098</v>
      </c>
      <c r="U24" s="22">
        <v>45995</v>
      </c>
      <c r="V24" s="44">
        <f>COUNTIFS(tblSales[Customer],tblCustomers[[#This Row],[Customer Name]],tblSales[Order Status],"&lt;&gt;Cancelled")</f>
        <v>13</v>
      </c>
      <c r="W24" s="45">
        <f>SUMIFS(tblSales[Order Total],tblSales[Customer],tblCustomers[[#This Row],[Customer Name]],tblSales[Order Status],"&lt;&gt;Cancelled")</f>
        <v>8062</v>
      </c>
    </row>
    <row r="25" spans="2:23" ht="14.4" x14ac:dyDescent="0.3">
      <c r="B25" s="23" t="s">
        <v>1124</v>
      </c>
      <c r="C25" s="22">
        <v>45984</v>
      </c>
      <c r="D25" s="23" t="s">
        <v>241</v>
      </c>
      <c r="E25" s="23" t="s">
        <v>1077</v>
      </c>
      <c r="F25" s="37" t="str">
        <f>IFERROR(INDEX(tblProducts[Category],MATCH(tblSales[[#This Row],[Product]],tblProducts[Product],0)),"Uncategorized")</f>
        <v>Digital Products</v>
      </c>
      <c r="G25" s="42">
        <v>2</v>
      </c>
      <c r="H25" s="24">
        <v>49</v>
      </c>
      <c r="I25" s="43">
        <f>tblSales[[#This Row],[Quantity]]*tblSales[[#This Row],[Unit Price]]</f>
        <v>98</v>
      </c>
      <c r="J25" s="25" t="s">
        <v>102</v>
      </c>
      <c r="K25" s="25" t="s">
        <v>123</v>
      </c>
      <c r="Q25" s="23" t="s">
        <v>1125</v>
      </c>
      <c r="R25" s="23" t="s">
        <v>602</v>
      </c>
      <c r="S25" s="23" t="s">
        <v>800</v>
      </c>
      <c r="T25" s="23" t="s">
        <v>1094</v>
      </c>
      <c r="U25" s="22">
        <v>46035</v>
      </c>
      <c r="V25" s="44">
        <f>COUNTIFS(tblSales[Customer],tblCustomers[[#This Row],[Customer Name]],tblSales[Order Status],"&lt;&gt;Cancelled")</f>
        <v>4</v>
      </c>
      <c r="W25" s="45">
        <f>SUMIFS(tblSales[Order Total],tblSales[Customer],tblCustomers[[#This Row],[Customer Name]],tblSales[Order Status],"&lt;&gt;Cancelled")</f>
        <v>1216</v>
      </c>
    </row>
    <row r="26" spans="2:23" ht="14.4" x14ac:dyDescent="0.3">
      <c r="B26" s="23" t="s">
        <v>1126</v>
      </c>
      <c r="C26" s="22">
        <v>45989</v>
      </c>
      <c r="D26" s="23" t="s">
        <v>219</v>
      </c>
      <c r="E26" s="23" t="s">
        <v>1096</v>
      </c>
      <c r="F26" s="37" t="str">
        <f>IFERROR(INDEX(tblProducts[Category],MATCH(tblSales[[#This Row],[Product]],tblProducts[Product],0)),"Uncategorized")</f>
        <v>Training</v>
      </c>
      <c r="G26" s="42">
        <v>9</v>
      </c>
      <c r="H26" s="24">
        <v>120</v>
      </c>
      <c r="I26" s="43">
        <f>tblSales[[#This Row],[Quantity]]*tblSales[[#This Row],[Unit Price]]</f>
        <v>1080</v>
      </c>
      <c r="J26" s="25" t="s">
        <v>102</v>
      </c>
      <c r="K26" s="25" t="s">
        <v>123</v>
      </c>
      <c r="Q26" s="23" t="s">
        <v>1127</v>
      </c>
      <c r="R26" s="23" t="s">
        <v>353</v>
      </c>
      <c r="S26" s="23" t="s">
        <v>729</v>
      </c>
      <c r="T26" s="23" t="s">
        <v>1084</v>
      </c>
      <c r="U26" s="22">
        <v>46051</v>
      </c>
      <c r="V26" s="44">
        <f>COUNTIFS(tblSales[Customer],tblCustomers[[#This Row],[Customer Name]],tblSales[Order Status],"&lt;&gt;Cancelled")</f>
        <v>3</v>
      </c>
      <c r="W26" s="45">
        <f>SUMIFS(tblSales[Order Total],tblSales[Customer],tblCustomers[[#This Row],[Customer Name]],tblSales[Order Status],"&lt;&gt;Cancelled")</f>
        <v>2185</v>
      </c>
    </row>
    <row r="27" spans="2:23" ht="14.4" x14ac:dyDescent="0.3">
      <c r="B27" s="23" t="s">
        <v>1128</v>
      </c>
      <c r="C27" s="22">
        <v>45990</v>
      </c>
      <c r="D27" s="23" t="s">
        <v>241</v>
      </c>
      <c r="E27" s="23" t="s">
        <v>1096</v>
      </c>
      <c r="F27" s="37" t="str">
        <f>IFERROR(INDEX(tblProducts[Category],MATCH(tblSales[[#This Row],[Product]],tblProducts[Product],0)),"Uncategorized")</f>
        <v>Training</v>
      </c>
      <c r="G27" s="42">
        <v>10</v>
      </c>
      <c r="H27" s="24">
        <v>120</v>
      </c>
      <c r="I27" s="43">
        <f>tblSales[[#This Row],[Quantity]]*tblSales[[#This Row],[Unit Price]]</f>
        <v>1200</v>
      </c>
      <c r="J27" s="25" t="s">
        <v>102</v>
      </c>
      <c r="K27" s="25" t="s">
        <v>123</v>
      </c>
      <c r="Q27" s="23" t="s">
        <v>1129</v>
      </c>
      <c r="R27" s="23" t="s">
        <v>345</v>
      </c>
      <c r="S27" s="23" t="s">
        <v>825</v>
      </c>
      <c r="T27" s="23" t="s">
        <v>1098</v>
      </c>
      <c r="U27" s="22">
        <v>46070</v>
      </c>
      <c r="V27" s="44">
        <f>COUNTIFS(tblSales[Customer],tblCustomers[[#This Row],[Customer Name]],tblSales[Order Status],"&lt;&gt;Cancelled")</f>
        <v>8</v>
      </c>
      <c r="W27" s="45">
        <f>SUMIFS(tblSales[Order Total],tblSales[Customer],tblCustomers[[#This Row],[Customer Name]],tblSales[Order Status],"&lt;&gt;Cancelled")</f>
        <v>9134</v>
      </c>
    </row>
    <row r="28" spans="2:23" ht="14.4" x14ac:dyDescent="0.3">
      <c r="B28" s="23" t="s">
        <v>1130</v>
      </c>
      <c r="C28" s="22">
        <v>46000</v>
      </c>
      <c r="D28" s="23" t="s">
        <v>227</v>
      </c>
      <c r="E28" s="23" t="s">
        <v>1081</v>
      </c>
      <c r="F28" s="37" t="str">
        <f>IFERROR(INDEX(tblProducts[Category],MATCH(tblSales[[#This Row],[Product]],tblProducts[Product],0)),"Uncategorized")</f>
        <v>Consulting</v>
      </c>
      <c r="G28" s="42">
        <v>3</v>
      </c>
      <c r="H28" s="24">
        <v>650</v>
      </c>
      <c r="I28" s="43">
        <f>tblSales[[#This Row],[Quantity]]*tblSales[[#This Row],[Unit Price]]</f>
        <v>1950</v>
      </c>
      <c r="J28" s="25" t="s">
        <v>102</v>
      </c>
      <c r="K28" s="25" t="s">
        <v>123</v>
      </c>
      <c r="Q28" s="23" t="s">
        <v>1131</v>
      </c>
      <c r="R28" s="23" t="s">
        <v>411</v>
      </c>
      <c r="S28" s="23" t="s">
        <v>729</v>
      </c>
      <c r="T28" s="23" t="s">
        <v>1079</v>
      </c>
      <c r="U28" s="22">
        <v>46090</v>
      </c>
      <c r="V28" s="44">
        <f>COUNTIFS(tblSales[Customer],tblCustomers[[#This Row],[Customer Name]],tblSales[Order Status],"&lt;&gt;Cancelled")</f>
        <v>5</v>
      </c>
      <c r="W28" s="45">
        <f>SUMIFS(tblSales[Order Total],tblSales[Customer],tblCustomers[[#This Row],[Customer Name]],tblSales[Order Status],"&lt;&gt;Cancelled")</f>
        <v>3588</v>
      </c>
    </row>
    <row r="29" spans="2:23" ht="14.4" x14ac:dyDescent="0.3">
      <c r="B29" s="23" t="s">
        <v>1132</v>
      </c>
      <c r="C29" s="22">
        <v>46001</v>
      </c>
      <c r="D29" s="23" t="s">
        <v>223</v>
      </c>
      <c r="E29" s="23" t="s">
        <v>1077</v>
      </c>
      <c r="F29" s="37" t="str">
        <f>IFERROR(INDEX(tblProducts[Category],MATCH(tblSales[[#This Row],[Product]],tblProducts[Product],0)),"Uncategorized")</f>
        <v>Digital Products</v>
      </c>
      <c r="G29" s="42">
        <v>2</v>
      </c>
      <c r="H29" s="24">
        <v>49</v>
      </c>
      <c r="I29" s="43">
        <f>tblSales[[#This Row],[Quantity]]*tblSales[[#This Row],[Unit Price]]</f>
        <v>98</v>
      </c>
      <c r="J29" s="25" t="s">
        <v>102</v>
      </c>
      <c r="K29" s="25" t="s">
        <v>123</v>
      </c>
      <c r="Q29" s="23" t="s">
        <v>1133</v>
      </c>
      <c r="R29" s="23" t="s">
        <v>359</v>
      </c>
      <c r="S29" s="23" t="s">
        <v>729</v>
      </c>
      <c r="T29" s="23" t="s">
        <v>1079</v>
      </c>
      <c r="U29" s="22">
        <v>46113</v>
      </c>
      <c r="V29" s="44">
        <f>COUNTIFS(tblSales[Customer],tblCustomers[[#This Row],[Customer Name]],tblSales[Order Status],"&lt;&gt;Cancelled")</f>
        <v>4</v>
      </c>
      <c r="W29" s="45">
        <f>SUMIFS(tblSales[Order Total],tblSales[Customer],tblCustomers[[#This Row],[Customer Name]],tblSales[Order Status],"&lt;&gt;Cancelled")</f>
        <v>5510</v>
      </c>
    </row>
    <row r="30" spans="2:23" ht="14.4" x14ac:dyDescent="0.3">
      <c r="B30" s="23" t="s">
        <v>1134</v>
      </c>
      <c r="C30" s="22">
        <v>46004</v>
      </c>
      <c r="D30" s="23" t="s">
        <v>267</v>
      </c>
      <c r="E30" s="23" t="s">
        <v>1086</v>
      </c>
      <c r="F30" s="37" t="str">
        <f>IFERROR(INDEX(tblProducts[Category],MATCH(tblSales[[#This Row],[Product]],tblProducts[Product],0)),"Uncategorized")</f>
        <v>Support Plans</v>
      </c>
      <c r="G30" s="42">
        <v>2</v>
      </c>
      <c r="H30" s="24">
        <v>350</v>
      </c>
      <c r="I30" s="43">
        <f>tblSales[[#This Row],[Quantity]]*tblSales[[#This Row],[Unit Price]]</f>
        <v>700</v>
      </c>
      <c r="J30" s="25" t="s">
        <v>102</v>
      </c>
      <c r="K30" s="25" t="s">
        <v>123</v>
      </c>
      <c r="Q30" s="23" t="s">
        <v>1135</v>
      </c>
      <c r="R30" s="23" t="s">
        <v>616</v>
      </c>
      <c r="S30" s="23" t="s">
        <v>755</v>
      </c>
      <c r="T30" s="23" t="s">
        <v>1084</v>
      </c>
      <c r="U30" s="22">
        <v>46154</v>
      </c>
      <c r="V30" s="44">
        <f>COUNTIFS(tblSales[Customer],tblCustomers[[#This Row],[Customer Name]],tblSales[Order Status],"&lt;&gt;Cancelled")</f>
        <v>0</v>
      </c>
      <c r="W30" s="45">
        <f>SUMIFS(tblSales[Order Total],tblSales[Customer],tblCustomers[[#This Row],[Customer Name]],tblSales[Order Status],"&lt;&gt;Cancelled")</f>
        <v>0</v>
      </c>
    </row>
    <row r="31" spans="2:23" ht="14.4" x14ac:dyDescent="0.3">
      <c r="B31" s="23" t="s">
        <v>1136</v>
      </c>
      <c r="C31" s="22">
        <v>46007</v>
      </c>
      <c r="D31" s="23" t="s">
        <v>237</v>
      </c>
      <c r="E31" s="23" t="s">
        <v>1076</v>
      </c>
      <c r="F31" s="37" t="str">
        <f>IFERROR(INDEX(tblProducts[Category],MATCH(tblSales[[#This Row],[Product]],tblProducts[Product],0)),"Uncategorized")</f>
        <v>Support Plans</v>
      </c>
      <c r="G31" s="42">
        <v>3</v>
      </c>
      <c r="H31" s="24">
        <v>240</v>
      </c>
      <c r="I31" s="43">
        <f>tblSales[[#This Row],[Quantity]]*tblSales[[#This Row],[Unit Price]]</f>
        <v>720</v>
      </c>
      <c r="J31" s="25" t="s">
        <v>102</v>
      </c>
      <c r="K31" s="25" t="s">
        <v>123</v>
      </c>
    </row>
    <row r="32" spans="2:23" ht="14.4" x14ac:dyDescent="0.3">
      <c r="B32" s="23" t="s">
        <v>1137</v>
      </c>
      <c r="C32" s="22">
        <v>46008</v>
      </c>
      <c r="D32" s="23" t="s">
        <v>241</v>
      </c>
      <c r="E32" s="23" t="s">
        <v>1081</v>
      </c>
      <c r="F32" s="37" t="str">
        <f>IFERROR(INDEX(tblProducts[Category],MATCH(tblSales[[#This Row],[Product]],tblProducts[Product],0)),"Uncategorized")</f>
        <v>Consulting</v>
      </c>
      <c r="G32" s="42">
        <v>4</v>
      </c>
      <c r="H32" s="24">
        <v>650</v>
      </c>
      <c r="I32" s="43">
        <f>tblSales[[#This Row],[Quantity]]*tblSales[[#This Row],[Unit Price]]</f>
        <v>2600</v>
      </c>
      <c r="J32" s="25" t="s">
        <v>102</v>
      </c>
      <c r="K32" s="25" t="s">
        <v>123</v>
      </c>
    </row>
    <row r="33" spans="2:11" ht="14.4" x14ac:dyDescent="0.3">
      <c r="B33" s="23" t="s">
        <v>1138</v>
      </c>
      <c r="C33" s="22">
        <v>46009</v>
      </c>
      <c r="D33" s="23" t="s">
        <v>277</v>
      </c>
      <c r="E33" s="23" t="s">
        <v>1092</v>
      </c>
      <c r="F33" s="37" t="str">
        <f>IFERROR(INDEX(tblProducts[Category],MATCH(tblSales[[#This Row],[Product]],tblProducts[Product],0)),"Uncategorized")</f>
        <v>Training</v>
      </c>
      <c r="G33" s="42">
        <v>1</v>
      </c>
      <c r="H33" s="24">
        <v>900</v>
      </c>
      <c r="I33" s="43">
        <f>tblSales[[#This Row],[Quantity]]*tblSales[[#This Row],[Unit Price]]</f>
        <v>900</v>
      </c>
      <c r="J33" s="25" t="s">
        <v>102</v>
      </c>
      <c r="K33" s="25" t="s">
        <v>123</v>
      </c>
    </row>
    <row r="34" spans="2:11" ht="14.4" x14ac:dyDescent="0.3">
      <c r="B34" s="23" t="s">
        <v>1139</v>
      </c>
      <c r="C34" s="22">
        <v>46009</v>
      </c>
      <c r="D34" s="23" t="s">
        <v>300</v>
      </c>
      <c r="E34" s="23" t="s">
        <v>1087</v>
      </c>
      <c r="F34" s="37" t="str">
        <f>IFERROR(INDEX(tblProducts[Category],MATCH(tblSales[[#This Row],[Product]],tblProducts[Product],0)),"Uncategorized")</f>
        <v>Consulting</v>
      </c>
      <c r="G34" s="42">
        <v>1</v>
      </c>
      <c r="H34" s="24">
        <v>180</v>
      </c>
      <c r="I34" s="43">
        <f>tblSales[[#This Row],[Quantity]]*tblSales[[#This Row],[Unit Price]]</f>
        <v>180</v>
      </c>
      <c r="J34" s="25" t="s">
        <v>102</v>
      </c>
      <c r="K34" s="25" t="s">
        <v>123</v>
      </c>
    </row>
    <row r="35" spans="2:11" ht="14.4" x14ac:dyDescent="0.3">
      <c r="B35" s="23" t="s">
        <v>1140</v>
      </c>
      <c r="C35" s="22">
        <v>46012</v>
      </c>
      <c r="D35" s="23" t="s">
        <v>267</v>
      </c>
      <c r="E35" s="23" t="s">
        <v>1096</v>
      </c>
      <c r="F35" s="37" t="str">
        <f>IFERROR(INDEX(tblProducts[Category],MATCH(tblSales[[#This Row],[Product]],tblProducts[Product],0)),"Uncategorized")</f>
        <v>Training</v>
      </c>
      <c r="G35" s="42">
        <v>10</v>
      </c>
      <c r="H35" s="24">
        <v>120</v>
      </c>
      <c r="I35" s="43">
        <f>tblSales[[#This Row],[Quantity]]*tblSales[[#This Row],[Unit Price]]</f>
        <v>1200</v>
      </c>
      <c r="J35" s="25" t="s">
        <v>102</v>
      </c>
      <c r="K35" s="25" t="s">
        <v>123</v>
      </c>
    </row>
    <row r="36" spans="2:11" ht="14.4" x14ac:dyDescent="0.3">
      <c r="B36" s="23" t="s">
        <v>1141</v>
      </c>
      <c r="C36" s="22">
        <v>46013</v>
      </c>
      <c r="D36" s="23" t="s">
        <v>223</v>
      </c>
      <c r="E36" s="23" t="s">
        <v>1081</v>
      </c>
      <c r="F36" s="37" t="str">
        <f>IFERROR(INDEX(tblProducts[Category],MATCH(tblSales[[#This Row],[Product]],tblProducts[Product],0)),"Uncategorized")</f>
        <v>Consulting</v>
      </c>
      <c r="G36" s="42">
        <v>2</v>
      </c>
      <c r="H36" s="24">
        <v>650</v>
      </c>
      <c r="I36" s="43">
        <f>tblSales[[#This Row],[Quantity]]*tblSales[[#This Row],[Unit Price]]</f>
        <v>1300</v>
      </c>
      <c r="J36" s="25" t="s">
        <v>102</v>
      </c>
      <c r="K36" s="25" t="s">
        <v>123</v>
      </c>
    </row>
    <row r="37" spans="2:11" ht="14.4" x14ac:dyDescent="0.3">
      <c r="B37" s="23" t="s">
        <v>1142</v>
      </c>
      <c r="C37" s="22">
        <v>46014</v>
      </c>
      <c r="D37" s="23" t="s">
        <v>277</v>
      </c>
      <c r="E37" s="23" t="s">
        <v>1076</v>
      </c>
      <c r="F37" s="37" t="str">
        <f>IFERROR(INDEX(tblProducts[Category],MATCH(tblSales[[#This Row],[Product]],tblProducts[Product],0)),"Uncategorized")</f>
        <v>Support Plans</v>
      </c>
      <c r="G37" s="42">
        <v>4</v>
      </c>
      <c r="H37" s="24">
        <v>240</v>
      </c>
      <c r="I37" s="43">
        <f>tblSales[[#This Row],[Quantity]]*tblSales[[#This Row],[Unit Price]]</f>
        <v>960</v>
      </c>
      <c r="J37" s="25" t="s">
        <v>102</v>
      </c>
      <c r="K37" s="25" t="s">
        <v>123</v>
      </c>
    </row>
    <row r="38" spans="2:11" ht="14.4" x14ac:dyDescent="0.3">
      <c r="B38" s="23" t="s">
        <v>1143</v>
      </c>
      <c r="C38" s="22">
        <v>46017</v>
      </c>
      <c r="D38" s="23" t="s">
        <v>287</v>
      </c>
      <c r="E38" s="23" t="s">
        <v>1096</v>
      </c>
      <c r="F38" s="37" t="str">
        <f>IFERROR(INDEX(tblProducts[Category],MATCH(tblSales[[#This Row],[Product]],tblProducts[Product],0)),"Uncategorized")</f>
        <v>Training</v>
      </c>
      <c r="G38" s="42">
        <v>9</v>
      </c>
      <c r="H38" s="24">
        <v>120</v>
      </c>
      <c r="I38" s="43">
        <f>tblSales[[#This Row],[Quantity]]*tblSales[[#This Row],[Unit Price]]</f>
        <v>1080</v>
      </c>
      <c r="J38" s="25" t="s">
        <v>102</v>
      </c>
      <c r="K38" s="25" t="s">
        <v>123</v>
      </c>
    </row>
    <row r="39" spans="2:11" ht="14.4" x14ac:dyDescent="0.3">
      <c r="B39" s="23" t="s">
        <v>1144</v>
      </c>
      <c r="C39" s="22">
        <v>46023</v>
      </c>
      <c r="D39" s="23" t="s">
        <v>267</v>
      </c>
      <c r="E39" s="23" t="s">
        <v>1096</v>
      </c>
      <c r="F39" s="37" t="str">
        <f>IFERROR(INDEX(tblProducts[Category],MATCH(tblSales[[#This Row],[Product]],tblProducts[Product],0)),"Uncategorized")</f>
        <v>Training</v>
      </c>
      <c r="G39" s="42">
        <v>3</v>
      </c>
      <c r="H39" s="24">
        <v>120</v>
      </c>
      <c r="I39" s="43">
        <f>tblSales[[#This Row],[Quantity]]*tblSales[[#This Row],[Unit Price]]</f>
        <v>360</v>
      </c>
      <c r="J39" s="25" t="s">
        <v>102</v>
      </c>
      <c r="K39" s="25" t="s">
        <v>123</v>
      </c>
    </row>
    <row r="40" spans="2:11" ht="14.4" x14ac:dyDescent="0.3">
      <c r="B40" s="23" t="s">
        <v>1145</v>
      </c>
      <c r="C40" s="22">
        <v>46023</v>
      </c>
      <c r="D40" s="23" t="s">
        <v>338</v>
      </c>
      <c r="E40" s="23" t="s">
        <v>1082</v>
      </c>
      <c r="F40" s="37" t="str">
        <f>IFERROR(INDEX(tblProducts[Category],MATCH(tblSales[[#This Row],[Product]],tblProducts[Product],0)),"Uncategorized")</f>
        <v>Digital Products</v>
      </c>
      <c r="G40" s="42">
        <v>1</v>
      </c>
      <c r="H40" s="24">
        <v>149</v>
      </c>
      <c r="I40" s="43">
        <f>tblSales[[#This Row],[Quantity]]*tblSales[[#This Row],[Unit Price]]</f>
        <v>149</v>
      </c>
      <c r="J40" s="25" t="s">
        <v>102</v>
      </c>
      <c r="K40" s="25" t="s">
        <v>123</v>
      </c>
    </row>
    <row r="41" spans="2:11" ht="14.4" x14ac:dyDescent="0.3">
      <c r="B41" s="23" t="s">
        <v>1146</v>
      </c>
      <c r="C41" s="22">
        <v>46025</v>
      </c>
      <c r="D41" s="23" t="s">
        <v>290</v>
      </c>
      <c r="E41" s="23" t="s">
        <v>1076</v>
      </c>
      <c r="F41" s="37" t="str">
        <f>IFERROR(INDEX(tblProducts[Category],MATCH(tblSales[[#This Row],[Product]],tblProducts[Product],0)),"Uncategorized")</f>
        <v>Support Plans</v>
      </c>
      <c r="G41" s="42">
        <v>6</v>
      </c>
      <c r="H41" s="24">
        <v>240</v>
      </c>
      <c r="I41" s="43">
        <f>tblSales[[#This Row],[Quantity]]*tblSales[[#This Row],[Unit Price]]</f>
        <v>1440</v>
      </c>
      <c r="J41" s="25" t="s">
        <v>102</v>
      </c>
      <c r="K41" s="25" t="s">
        <v>123</v>
      </c>
    </row>
    <row r="42" spans="2:11" ht="14.4" x14ac:dyDescent="0.3">
      <c r="B42" s="23" t="s">
        <v>1147</v>
      </c>
      <c r="C42" s="22">
        <v>46026</v>
      </c>
      <c r="D42" s="23" t="s">
        <v>237</v>
      </c>
      <c r="E42" s="23" t="s">
        <v>1077</v>
      </c>
      <c r="F42" s="37" t="str">
        <f>IFERROR(INDEX(tblProducts[Category],MATCH(tblSales[[#This Row],[Product]],tblProducts[Product],0)),"Uncategorized")</f>
        <v>Digital Products</v>
      </c>
      <c r="G42" s="42">
        <v>3</v>
      </c>
      <c r="H42" s="24">
        <v>49</v>
      </c>
      <c r="I42" s="43">
        <f>tblSales[[#This Row],[Quantity]]*tblSales[[#This Row],[Unit Price]]</f>
        <v>147</v>
      </c>
      <c r="J42" s="25" t="s">
        <v>102</v>
      </c>
      <c r="K42" s="25" t="s">
        <v>123</v>
      </c>
    </row>
    <row r="43" spans="2:11" ht="14.4" x14ac:dyDescent="0.3">
      <c r="B43" s="23" t="s">
        <v>1148</v>
      </c>
      <c r="C43" s="22">
        <v>46027</v>
      </c>
      <c r="D43" s="23" t="s">
        <v>241</v>
      </c>
      <c r="E43" s="23" t="s">
        <v>1096</v>
      </c>
      <c r="F43" s="37" t="str">
        <f>IFERROR(INDEX(tblProducts[Category],MATCH(tblSales[[#This Row],[Product]],tblProducts[Product],0)),"Uncategorized")</f>
        <v>Training</v>
      </c>
      <c r="G43" s="42">
        <v>4</v>
      </c>
      <c r="H43" s="24">
        <v>120</v>
      </c>
      <c r="I43" s="43">
        <f>tblSales[[#This Row],[Quantity]]*tblSales[[#This Row],[Unit Price]]</f>
        <v>480</v>
      </c>
      <c r="J43" s="25" t="s">
        <v>102</v>
      </c>
      <c r="K43" s="25" t="s">
        <v>123</v>
      </c>
    </row>
    <row r="44" spans="2:11" ht="14.4" x14ac:dyDescent="0.3">
      <c r="B44" s="23" t="s">
        <v>1149</v>
      </c>
      <c r="C44" s="22">
        <v>46029</v>
      </c>
      <c r="D44" s="23" t="s">
        <v>290</v>
      </c>
      <c r="E44" s="23" t="s">
        <v>1082</v>
      </c>
      <c r="F44" s="37" t="str">
        <f>IFERROR(INDEX(tblProducts[Category],MATCH(tblSales[[#This Row],[Product]],tblProducts[Product],0)),"Uncategorized")</f>
        <v>Digital Products</v>
      </c>
      <c r="G44" s="42">
        <v>2</v>
      </c>
      <c r="H44" s="24">
        <v>149</v>
      </c>
      <c r="I44" s="43">
        <f>tblSales[[#This Row],[Quantity]]*tblSales[[#This Row],[Unit Price]]</f>
        <v>298</v>
      </c>
      <c r="J44" s="25" t="s">
        <v>102</v>
      </c>
      <c r="K44" s="25" t="s">
        <v>123</v>
      </c>
    </row>
    <row r="45" spans="2:11" ht="14.4" x14ac:dyDescent="0.3">
      <c r="B45" s="23" t="s">
        <v>1150</v>
      </c>
      <c r="C45" s="22">
        <v>46034</v>
      </c>
      <c r="D45" s="23" t="s">
        <v>294</v>
      </c>
      <c r="E45" s="23" t="s">
        <v>1087</v>
      </c>
      <c r="F45" s="37" t="str">
        <f>IFERROR(INDEX(tblProducts[Category],MATCH(tblSales[[#This Row],[Product]],tblProducts[Product],0)),"Uncategorized")</f>
        <v>Consulting</v>
      </c>
      <c r="G45" s="42">
        <v>4</v>
      </c>
      <c r="H45" s="24">
        <v>180</v>
      </c>
      <c r="I45" s="43">
        <f>tblSales[[#This Row],[Quantity]]*tblSales[[#This Row],[Unit Price]]</f>
        <v>720</v>
      </c>
      <c r="J45" s="25" t="s">
        <v>102</v>
      </c>
      <c r="K45" s="25" t="s">
        <v>123</v>
      </c>
    </row>
    <row r="46" spans="2:11" ht="14.4" x14ac:dyDescent="0.3">
      <c r="B46" s="23" t="s">
        <v>1151</v>
      </c>
      <c r="C46" s="22">
        <v>46036</v>
      </c>
      <c r="D46" s="23" t="s">
        <v>297</v>
      </c>
      <c r="E46" s="23" t="s">
        <v>1076</v>
      </c>
      <c r="F46" s="37" t="str">
        <f>IFERROR(INDEX(tblProducts[Category],MATCH(tblSales[[#This Row],[Product]],tblProducts[Product],0)),"Uncategorized")</f>
        <v>Support Plans</v>
      </c>
      <c r="G46" s="42">
        <v>5</v>
      </c>
      <c r="H46" s="24">
        <v>240</v>
      </c>
      <c r="I46" s="43">
        <f>tblSales[[#This Row],[Quantity]]*tblSales[[#This Row],[Unit Price]]</f>
        <v>1200</v>
      </c>
      <c r="J46" s="25" t="s">
        <v>102</v>
      </c>
      <c r="K46" s="25" t="s">
        <v>123</v>
      </c>
    </row>
    <row r="47" spans="2:11" ht="14.4" x14ac:dyDescent="0.3">
      <c r="B47" s="23" t="s">
        <v>1152</v>
      </c>
      <c r="C47" s="22">
        <v>46037</v>
      </c>
      <c r="D47" s="23" t="s">
        <v>300</v>
      </c>
      <c r="E47" s="23" t="s">
        <v>1092</v>
      </c>
      <c r="F47" s="37" t="str">
        <f>IFERROR(INDEX(tblProducts[Category],MATCH(tblSales[[#This Row],[Product]],tblProducts[Product],0)),"Uncategorized")</f>
        <v>Training</v>
      </c>
      <c r="G47" s="42">
        <v>2</v>
      </c>
      <c r="H47" s="24">
        <v>900</v>
      </c>
      <c r="I47" s="43">
        <f>tblSales[[#This Row],[Quantity]]*tblSales[[#This Row],[Unit Price]]</f>
        <v>1800</v>
      </c>
      <c r="J47" s="25" t="s">
        <v>102</v>
      </c>
      <c r="K47" s="25" t="s">
        <v>123</v>
      </c>
    </row>
    <row r="48" spans="2:11" ht="14.4" x14ac:dyDescent="0.3">
      <c r="B48" s="23" t="s">
        <v>1153</v>
      </c>
      <c r="C48" s="22">
        <v>46046</v>
      </c>
      <c r="D48" s="23" t="s">
        <v>304</v>
      </c>
      <c r="E48" s="23" t="s">
        <v>1092</v>
      </c>
      <c r="F48" s="37" t="str">
        <f>IFERROR(INDEX(tblProducts[Category],MATCH(tblSales[[#This Row],[Product]],tblProducts[Product],0)),"Uncategorized")</f>
        <v>Training</v>
      </c>
      <c r="G48" s="42">
        <v>1</v>
      </c>
      <c r="H48" s="24">
        <v>900</v>
      </c>
      <c r="I48" s="43">
        <f>tblSales[[#This Row],[Quantity]]*tblSales[[#This Row],[Unit Price]]</f>
        <v>900</v>
      </c>
      <c r="J48" s="25" t="s">
        <v>102</v>
      </c>
      <c r="K48" s="25" t="s">
        <v>123</v>
      </c>
    </row>
    <row r="49" spans="2:11" ht="14.4" x14ac:dyDescent="0.3">
      <c r="B49" s="23" t="s">
        <v>1154</v>
      </c>
      <c r="C49" s="22">
        <v>46050</v>
      </c>
      <c r="D49" s="23" t="s">
        <v>227</v>
      </c>
      <c r="E49" s="23" t="s">
        <v>1077</v>
      </c>
      <c r="F49" s="37" t="str">
        <f>IFERROR(INDEX(tblProducts[Category],MATCH(tblSales[[#This Row],[Product]],tblProducts[Product],0)),"Uncategorized")</f>
        <v>Digital Products</v>
      </c>
      <c r="G49" s="42">
        <v>1</v>
      </c>
      <c r="H49" s="24">
        <v>49</v>
      </c>
      <c r="I49" s="43">
        <f>tblSales[[#This Row],[Quantity]]*tblSales[[#This Row],[Unit Price]]</f>
        <v>49</v>
      </c>
      <c r="J49" s="25" t="s">
        <v>102</v>
      </c>
      <c r="K49" s="25" t="s">
        <v>123</v>
      </c>
    </row>
    <row r="50" spans="2:11" ht="14.4" x14ac:dyDescent="0.3">
      <c r="B50" s="23" t="s">
        <v>1155</v>
      </c>
      <c r="C50" s="22">
        <v>46052</v>
      </c>
      <c r="D50" s="23" t="s">
        <v>227</v>
      </c>
      <c r="E50" s="23" t="s">
        <v>1076</v>
      </c>
      <c r="F50" s="37" t="str">
        <f>IFERROR(INDEX(tblProducts[Category],MATCH(tblSales[[#This Row],[Product]],tblProducts[Product],0)),"Uncategorized")</f>
        <v>Support Plans</v>
      </c>
      <c r="G50" s="42">
        <v>1</v>
      </c>
      <c r="H50" s="24">
        <v>240</v>
      </c>
      <c r="I50" s="43">
        <f>tblSales[[#This Row],[Quantity]]*tblSales[[#This Row],[Unit Price]]</f>
        <v>240</v>
      </c>
      <c r="J50" s="25" t="s">
        <v>102</v>
      </c>
      <c r="K50" s="25" t="s">
        <v>123</v>
      </c>
    </row>
    <row r="51" spans="2:11" ht="14.4" x14ac:dyDescent="0.3">
      <c r="B51" s="23" t="s">
        <v>1156</v>
      </c>
      <c r="C51" s="22">
        <v>46054</v>
      </c>
      <c r="D51" s="23" t="s">
        <v>307</v>
      </c>
      <c r="E51" s="23" t="s">
        <v>1076</v>
      </c>
      <c r="F51" s="37" t="str">
        <f>IFERROR(INDEX(tblProducts[Category],MATCH(tblSales[[#This Row],[Product]],tblProducts[Product],0)),"Uncategorized")</f>
        <v>Support Plans</v>
      </c>
      <c r="G51" s="42">
        <v>4</v>
      </c>
      <c r="H51" s="24">
        <v>240</v>
      </c>
      <c r="I51" s="43">
        <f>tblSales[[#This Row],[Quantity]]*tblSales[[#This Row],[Unit Price]]</f>
        <v>960</v>
      </c>
      <c r="J51" s="25" t="s">
        <v>102</v>
      </c>
      <c r="K51" s="25" t="s">
        <v>123</v>
      </c>
    </row>
    <row r="52" spans="2:11" ht="14.4" x14ac:dyDescent="0.3">
      <c r="B52" s="23" t="s">
        <v>1157</v>
      </c>
      <c r="C52" s="22">
        <v>46054</v>
      </c>
      <c r="D52" s="23" t="s">
        <v>267</v>
      </c>
      <c r="E52" s="23" t="s">
        <v>1092</v>
      </c>
      <c r="F52" s="37" t="str">
        <f>IFERROR(INDEX(tblProducts[Category],MATCH(tblSales[[#This Row],[Product]],tblProducts[Product],0)),"Uncategorized")</f>
        <v>Training</v>
      </c>
      <c r="G52" s="42">
        <v>1</v>
      </c>
      <c r="H52" s="24">
        <v>900</v>
      </c>
      <c r="I52" s="43">
        <f>tblSales[[#This Row],[Quantity]]*tblSales[[#This Row],[Unit Price]]</f>
        <v>900</v>
      </c>
      <c r="J52" s="25" t="s">
        <v>102</v>
      </c>
      <c r="K52" s="25" t="s">
        <v>123</v>
      </c>
    </row>
    <row r="53" spans="2:11" ht="14.4" x14ac:dyDescent="0.3">
      <c r="B53" s="23" t="s">
        <v>1158</v>
      </c>
      <c r="C53" s="22">
        <v>46063</v>
      </c>
      <c r="D53" s="23" t="s">
        <v>304</v>
      </c>
      <c r="E53" s="23" t="s">
        <v>1096</v>
      </c>
      <c r="F53" s="37" t="str">
        <f>IFERROR(INDEX(tblProducts[Category],MATCH(tblSales[[#This Row],[Product]],tblProducts[Product],0)),"Uncategorized")</f>
        <v>Training</v>
      </c>
      <c r="G53" s="42">
        <v>5</v>
      </c>
      <c r="H53" s="24">
        <v>120</v>
      </c>
      <c r="I53" s="43">
        <f>tblSales[[#This Row],[Quantity]]*tblSales[[#This Row],[Unit Price]]</f>
        <v>600</v>
      </c>
      <c r="J53" s="25" t="s">
        <v>102</v>
      </c>
      <c r="K53" s="25" t="s">
        <v>123</v>
      </c>
    </row>
    <row r="54" spans="2:11" ht="14.4" x14ac:dyDescent="0.3">
      <c r="B54" s="23" t="s">
        <v>1159</v>
      </c>
      <c r="C54" s="22">
        <v>46064</v>
      </c>
      <c r="D54" s="23" t="s">
        <v>277</v>
      </c>
      <c r="E54" s="23" t="s">
        <v>1096</v>
      </c>
      <c r="F54" s="37" t="str">
        <f>IFERROR(INDEX(tblProducts[Category],MATCH(tblSales[[#This Row],[Product]],tblProducts[Product],0)),"Uncategorized")</f>
        <v>Training</v>
      </c>
      <c r="G54" s="42">
        <v>9</v>
      </c>
      <c r="H54" s="24">
        <v>120</v>
      </c>
      <c r="I54" s="43">
        <f>tblSales[[#This Row],[Quantity]]*tblSales[[#This Row],[Unit Price]]</f>
        <v>1080</v>
      </c>
      <c r="J54" s="25" t="s">
        <v>102</v>
      </c>
      <c r="K54" s="25" t="s">
        <v>123</v>
      </c>
    </row>
    <row r="55" spans="2:11" ht="14.4" x14ac:dyDescent="0.3">
      <c r="B55" s="23" t="s">
        <v>1160</v>
      </c>
      <c r="C55" s="22">
        <v>46065</v>
      </c>
      <c r="D55" s="23" t="s">
        <v>353</v>
      </c>
      <c r="E55" s="23" t="s">
        <v>1082</v>
      </c>
      <c r="F55" s="37" t="str">
        <f>IFERROR(INDEX(tblProducts[Category],MATCH(tblSales[[#This Row],[Product]],tblProducts[Product],0)),"Uncategorized")</f>
        <v>Digital Products</v>
      </c>
      <c r="G55" s="42">
        <v>1</v>
      </c>
      <c r="H55" s="24">
        <v>149</v>
      </c>
      <c r="I55" s="43">
        <f>tblSales[[#This Row],[Quantity]]*tblSales[[#This Row],[Unit Price]]</f>
        <v>149</v>
      </c>
      <c r="J55" s="25" t="s">
        <v>102</v>
      </c>
      <c r="K55" s="25" t="s">
        <v>123</v>
      </c>
    </row>
    <row r="56" spans="2:11" ht="14.4" x14ac:dyDescent="0.3">
      <c r="B56" s="23" t="s">
        <v>1161</v>
      </c>
      <c r="C56" s="22">
        <v>46065</v>
      </c>
      <c r="D56" s="23" t="s">
        <v>290</v>
      </c>
      <c r="E56" s="23" t="s">
        <v>1087</v>
      </c>
      <c r="F56" s="37" t="str">
        <f>IFERROR(INDEX(tblProducts[Category],MATCH(tblSales[[#This Row],[Product]],tblProducts[Product],0)),"Uncategorized")</f>
        <v>Consulting</v>
      </c>
      <c r="G56" s="42">
        <v>2</v>
      </c>
      <c r="H56" s="24">
        <v>180</v>
      </c>
      <c r="I56" s="43">
        <f>tblSales[[#This Row],[Quantity]]*tblSales[[#This Row],[Unit Price]]</f>
        <v>360</v>
      </c>
      <c r="J56" s="25" t="s">
        <v>102</v>
      </c>
      <c r="K56" s="25" t="s">
        <v>123</v>
      </c>
    </row>
    <row r="57" spans="2:11" ht="14.4" x14ac:dyDescent="0.3">
      <c r="B57" s="23" t="s">
        <v>1162</v>
      </c>
      <c r="C57" s="22">
        <v>46068</v>
      </c>
      <c r="D57" s="23" t="s">
        <v>297</v>
      </c>
      <c r="E57" s="23" t="s">
        <v>1077</v>
      </c>
      <c r="F57" s="37" t="str">
        <f>IFERROR(INDEX(tblProducts[Category],MATCH(tblSales[[#This Row],[Product]],tblProducts[Product],0)),"Uncategorized")</f>
        <v>Digital Products</v>
      </c>
      <c r="G57" s="42">
        <v>5</v>
      </c>
      <c r="H57" s="24">
        <v>49</v>
      </c>
      <c r="I57" s="43">
        <f>tblSales[[#This Row],[Quantity]]*tblSales[[#This Row],[Unit Price]]</f>
        <v>245</v>
      </c>
      <c r="J57" s="25" t="s">
        <v>102</v>
      </c>
      <c r="K57" s="25" t="s">
        <v>123</v>
      </c>
    </row>
    <row r="58" spans="2:11" ht="14.4" x14ac:dyDescent="0.3">
      <c r="B58" s="23" t="s">
        <v>1163</v>
      </c>
      <c r="C58" s="22">
        <v>46069</v>
      </c>
      <c r="D58" s="23" t="s">
        <v>316</v>
      </c>
      <c r="E58" s="23" t="s">
        <v>1081</v>
      </c>
      <c r="F58" s="37" t="str">
        <f>IFERROR(INDEX(tblProducts[Category],MATCH(tblSales[[#This Row],[Product]],tblProducts[Product],0)),"Uncategorized")</f>
        <v>Consulting</v>
      </c>
      <c r="G58" s="42">
        <v>2</v>
      </c>
      <c r="H58" s="24">
        <v>650</v>
      </c>
      <c r="I58" s="43">
        <f>tblSales[[#This Row],[Quantity]]*tblSales[[#This Row],[Unit Price]]</f>
        <v>1300</v>
      </c>
      <c r="J58" s="25" t="s">
        <v>102</v>
      </c>
      <c r="K58" s="25" t="s">
        <v>123</v>
      </c>
    </row>
    <row r="59" spans="2:11" ht="14.4" x14ac:dyDescent="0.3">
      <c r="B59" s="23" t="s">
        <v>1164</v>
      </c>
      <c r="C59" s="22">
        <v>46070</v>
      </c>
      <c r="D59" s="23" t="s">
        <v>241</v>
      </c>
      <c r="E59" s="23" t="s">
        <v>1096</v>
      </c>
      <c r="F59" s="37" t="str">
        <f>IFERROR(INDEX(tblProducts[Category],MATCH(tblSales[[#This Row],[Product]],tblProducts[Product],0)),"Uncategorized")</f>
        <v>Training</v>
      </c>
      <c r="G59" s="42">
        <v>2</v>
      </c>
      <c r="H59" s="24">
        <v>120</v>
      </c>
      <c r="I59" s="43">
        <f>tblSales[[#This Row],[Quantity]]*tblSales[[#This Row],[Unit Price]]</f>
        <v>240</v>
      </c>
      <c r="J59" s="25" t="s">
        <v>102</v>
      </c>
      <c r="K59" s="25" t="s">
        <v>123</v>
      </c>
    </row>
    <row r="60" spans="2:11" ht="14.4" x14ac:dyDescent="0.3">
      <c r="B60" s="23" t="s">
        <v>1165</v>
      </c>
      <c r="C60" s="22">
        <v>46074</v>
      </c>
      <c r="D60" s="23" t="s">
        <v>304</v>
      </c>
      <c r="E60" s="23" t="s">
        <v>1096</v>
      </c>
      <c r="F60" s="37" t="str">
        <f>IFERROR(INDEX(tblProducts[Category],MATCH(tblSales[[#This Row],[Product]],tblProducts[Product],0)),"Uncategorized")</f>
        <v>Training</v>
      </c>
      <c r="G60" s="42">
        <v>5</v>
      </c>
      <c r="H60" s="24">
        <v>120</v>
      </c>
      <c r="I60" s="43">
        <f>tblSales[[#This Row],[Quantity]]*tblSales[[#This Row],[Unit Price]]</f>
        <v>600</v>
      </c>
      <c r="J60" s="25" t="s">
        <v>102</v>
      </c>
      <c r="K60" s="25" t="s">
        <v>123</v>
      </c>
    </row>
    <row r="61" spans="2:11" ht="14.4" x14ac:dyDescent="0.3">
      <c r="B61" s="23" t="s">
        <v>1166</v>
      </c>
      <c r="C61" s="22">
        <v>46075</v>
      </c>
      <c r="D61" s="23" t="s">
        <v>294</v>
      </c>
      <c r="E61" s="23" t="s">
        <v>1076</v>
      </c>
      <c r="F61" s="37" t="str">
        <f>IFERROR(INDEX(tblProducts[Category],MATCH(tblSales[[#This Row],[Product]],tblProducts[Product],0)),"Uncategorized")</f>
        <v>Support Plans</v>
      </c>
      <c r="G61" s="42">
        <v>2</v>
      </c>
      <c r="H61" s="24">
        <v>240</v>
      </c>
      <c r="I61" s="43">
        <f>tblSales[[#This Row],[Quantity]]*tblSales[[#This Row],[Unit Price]]</f>
        <v>480</v>
      </c>
      <c r="J61" s="25" t="s">
        <v>102</v>
      </c>
      <c r="K61" s="25" t="s">
        <v>123</v>
      </c>
    </row>
    <row r="62" spans="2:11" ht="14.4" x14ac:dyDescent="0.3">
      <c r="B62" s="23" t="s">
        <v>1167</v>
      </c>
      <c r="C62" s="22">
        <v>46078</v>
      </c>
      <c r="D62" s="23" t="s">
        <v>297</v>
      </c>
      <c r="E62" s="23" t="s">
        <v>1096</v>
      </c>
      <c r="F62" s="37" t="str">
        <f>IFERROR(INDEX(tblProducts[Category],MATCH(tblSales[[#This Row],[Product]],tblProducts[Product],0)),"Uncategorized")</f>
        <v>Training</v>
      </c>
      <c r="G62" s="42">
        <v>4</v>
      </c>
      <c r="H62" s="24">
        <v>120</v>
      </c>
      <c r="I62" s="43">
        <f>tblSales[[#This Row],[Quantity]]*tblSales[[#This Row],[Unit Price]]</f>
        <v>480</v>
      </c>
      <c r="J62" s="25" t="s">
        <v>102</v>
      </c>
      <c r="K62" s="25" t="s">
        <v>123</v>
      </c>
    </row>
    <row r="63" spans="2:11" ht="14.4" x14ac:dyDescent="0.3">
      <c r="B63" s="23" t="s">
        <v>1168</v>
      </c>
      <c r="C63" s="22">
        <v>46080</v>
      </c>
      <c r="D63" s="23" t="s">
        <v>227</v>
      </c>
      <c r="E63" s="23" t="s">
        <v>1087</v>
      </c>
      <c r="F63" s="37" t="str">
        <f>IFERROR(INDEX(tblProducts[Category],MATCH(tblSales[[#This Row],[Product]],tblProducts[Product],0)),"Uncategorized")</f>
        <v>Consulting</v>
      </c>
      <c r="G63" s="42">
        <v>4</v>
      </c>
      <c r="H63" s="24">
        <v>180</v>
      </c>
      <c r="I63" s="43">
        <f>tblSales[[#This Row],[Quantity]]*tblSales[[#This Row],[Unit Price]]</f>
        <v>720</v>
      </c>
      <c r="J63" s="25" t="s">
        <v>102</v>
      </c>
      <c r="K63" s="25" t="s">
        <v>123</v>
      </c>
    </row>
    <row r="64" spans="2:11" ht="14.4" x14ac:dyDescent="0.3">
      <c r="B64" s="23" t="s">
        <v>1169</v>
      </c>
      <c r="C64" s="22">
        <v>46084</v>
      </c>
      <c r="D64" s="23" t="s">
        <v>300</v>
      </c>
      <c r="E64" s="23" t="s">
        <v>1081</v>
      </c>
      <c r="F64" s="37" t="str">
        <f>IFERROR(INDEX(tblProducts[Category],MATCH(tblSales[[#This Row],[Product]],tblProducts[Product],0)),"Uncategorized")</f>
        <v>Consulting</v>
      </c>
      <c r="G64" s="42">
        <v>3</v>
      </c>
      <c r="H64" s="24">
        <v>650</v>
      </c>
      <c r="I64" s="43">
        <f>tblSales[[#This Row],[Quantity]]*tblSales[[#This Row],[Unit Price]]</f>
        <v>1950</v>
      </c>
      <c r="J64" s="25" t="s">
        <v>102</v>
      </c>
      <c r="K64" s="25" t="s">
        <v>123</v>
      </c>
    </row>
    <row r="65" spans="2:11" ht="14.4" x14ac:dyDescent="0.3">
      <c r="B65" s="23" t="s">
        <v>1170</v>
      </c>
      <c r="C65" s="22">
        <v>46087</v>
      </c>
      <c r="D65" s="23" t="s">
        <v>294</v>
      </c>
      <c r="E65" s="23" t="s">
        <v>1081</v>
      </c>
      <c r="F65" s="37" t="str">
        <f>IFERROR(INDEX(tblProducts[Category],MATCH(tblSales[[#This Row],[Product]],tblProducts[Product],0)),"Uncategorized")</f>
        <v>Consulting</v>
      </c>
      <c r="G65" s="42">
        <v>1</v>
      </c>
      <c r="H65" s="24">
        <v>650</v>
      </c>
      <c r="I65" s="43">
        <f>tblSales[[#This Row],[Quantity]]*tblSales[[#This Row],[Unit Price]]</f>
        <v>650</v>
      </c>
      <c r="J65" s="25" t="s">
        <v>102</v>
      </c>
      <c r="K65" s="25" t="s">
        <v>123</v>
      </c>
    </row>
    <row r="66" spans="2:11" ht="14.4" x14ac:dyDescent="0.3">
      <c r="B66" s="23" t="s">
        <v>1171</v>
      </c>
      <c r="C66" s="22">
        <v>46087</v>
      </c>
      <c r="D66" s="23" t="s">
        <v>294</v>
      </c>
      <c r="E66" s="23" t="s">
        <v>1086</v>
      </c>
      <c r="F66" s="37" t="str">
        <f>IFERROR(INDEX(tblProducts[Category],MATCH(tblSales[[#This Row],[Product]],tblProducts[Product],0)),"Uncategorized")</f>
        <v>Support Plans</v>
      </c>
      <c r="G66" s="42">
        <v>2</v>
      </c>
      <c r="H66" s="24">
        <v>350</v>
      </c>
      <c r="I66" s="43">
        <f>tblSales[[#This Row],[Quantity]]*tblSales[[#This Row],[Unit Price]]</f>
        <v>700</v>
      </c>
      <c r="J66" s="25" t="s">
        <v>102</v>
      </c>
      <c r="K66" s="25" t="s">
        <v>123</v>
      </c>
    </row>
    <row r="67" spans="2:11" ht="14.4" x14ac:dyDescent="0.3">
      <c r="B67" s="23" t="s">
        <v>1172</v>
      </c>
      <c r="C67" s="22">
        <v>46090</v>
      </c>
      <c r="D67" s="23" t="s">
        <v>219</v>
      </c>
      <c r="E67" s="23" t="s">
        <v>1076</v>
      </c>
      <c r="F67" s="37" t="str">
        <f>IFERROR(INDEX(tblProducts[Category],MATCH(tblSales[[#This Row],[Product]],tblProducts[Product],0)),"Uncategorized")</f>
        <v>Support Plans</v>
      </c>
      <c r="G67" s="42">
        <v>2</v>
      </c>
      <c r="H67" s="24">
        <v>240</v>
      </c>
      <c r="I67" s="43">
        <f>tblSales[[#This Row],[Quantity]]*tblSales[[#This Row],[Unit Price]]</f>
        <v>480</v>
      </c>
      <c r="J67" s="25" t="s">
        <v>102</v>
      </c>
      <c r="K67" s="25" t="s">
        <v>123</v>
      </c>
    </row>
    <row r="68" spans="2:11" ht="14.4" x14ac:dyDescent="0.3">
      <c r="B68" s="23" t="s">
        <v>1173</v>
      </c>
      <c r="C68" s="22">
        <v>46091</v>
      </c>
      <c r="D68" s="23" t="s">
        <v>245</v>
      </c>
      <c r="E68" s="23" t="s">
        <v>1076</v>
      </c>
      <c r="F68" s="37" t="str">
        <f>IFERROR(INDEX(tblProducts[Category],MATCH(tblSales[[#This Row],[Product]],tblProducts[Product],0)),"Uncategorized")</f>
        <v>Support Plans</v>
      </c>
      <c r="G68" s="42">
        <v>4</v>
      </c>
      <c r="H68" s="24">
        <v>240</v>
      </c>
      <c r="I68" s="43">
        <f>tblSales[[#This Row],[Quantity]]*tblSales[[#This Row],[Unit Price]]</f>
        <v>960</v>
      </c>
      <c r="J68" s="25" t="s">
        <v>102</v>
      </c>
      <c r="K68" s="25" t="s">
        <v>123</v>
      </c>
    </row>
    <row r="69" spans="2:11" ht="14.4" x14ac:dyDescent="0.3">
      <c r="B69" s="23" t="s">
        <v>1174</v>
      </c>
      <c r="C69" s="22">
        <v>46093</v>
      </c>
      <c r="D69" s="23" t="s">
        <v>345</v>
      </c>
      <c r="E69" s="23" t="s">
        <v>1087</v>
      </c>
      <c r="F69" s="37" t="str">
        <f>IFERROR(INDEX(tblProducts[Category],MATCH(tblSales[[#This Row],[Product]],tblProducts[Product],0)),"Uncategorized")</f>
        <v>Consulting</v>
      </c>
      <c r="G69" s="42">
        <v>2</v>
      </c>
      <c r="H69" s="24">
        <v>180</v>
      </c>
      <c r="I69" s="43">
        <f>tblSales[[#This Row],[Quantity]]*tblSales[[#This Row],[Unit Price]]</f>
        <v>360</v>
      </c>
      <c r="J69" s="25" t="s">
        <v>102</v>
      </c>
      <c r="K69" s="25" t="s">
        <v>123</v>
      </c>
    </row>
    <row r="70" spans="2:11" ht="14.4" x14ac:dyDescent="0.3">
      <c r="B70" s="23" t="s">
        <v>1175</v>
      </c>
      <c r="C70" s="22">
        <v>46094</v>
      </c>
      <c r="D70" s="23" t="s">
        <v>245</v>
      </c>
      <c r="E70" s="23" t="s">
        <v>1087</v>
      </c>
      <c r="F70" s="37" t="str">
        <f>IFERROR(INDEX(tblProducts[Category],MATCH(tblSales[[#This Row],[Product]],tblProducts[Product],0)),"Uncategorized")</f>
        <v>Consulting</v>
      </c>
      <c r="G70" s="42">
        <v>2</v>
      </c>
      <c r="H70" s="24">
        <v>180</v>
      </c>
      <c r="I70" s="43">
        <f>tblSales[[#This Row],[Quantity]]*tblSales[[#This Row],[Unit Price]]</f>
        <v>360</v>
      </c>
      <c r="J70" s="25" t="s">
        <v>102</v>
      </c>
      <c r="K70" s="25" t="s">
        <v>123</v>
      </c>
    </row>
    <row r="71" spans="2:11" ht="14.4" x14ac:dyDescent="0.3">
      <c r="B71" s="23" t="s">
        <v>1176</v>
      </c>
      <c r="C71" s="22">
        <v>46095</v>
      </c>
      <c r="D71" s="23" t="s">
        <v>237</v>
      </c>
      <c r="E71" s="23" t="s">
        <v>1092</v>
      </c>
      <c r="F71" s="37" t="str">
        <f>IFERROR(INDEX(tblProducts[Category],MATCH(tblSales[[#This Row],[Product]],tblProducts[Product],0)),"Uncategorized")</f>
        <v>Training</v>
      </c>
      <c r="G71" s="42">
        <v>3</v>
      </c>
      <c r="H71" s="24">
        <v>900</v>
      </c>
      <c r="I71" s="43">
        <f>tblSales[[#This Row],[Quantity]]*tblSales[[#This Row],[Unit Price]]</f>
        <v>2700</v>
      </c>
      <c r="J71" s="25" t="s">
        <v>102</v>
      </c>
      <c r="K71" s="25" t="s">
        <v>123</v>
      </c>
    </row>
    <row r="72" spans="2:11" ht="14.4" x14ac:dyDescent="0.3">
      <c r="B72" s="23" t="s">
        <v>1177</v>
      </c>
      <c r="C72" s="22">
        <v>46096</v>
      </c>
      <c r="D72" s="23" t="s">
        <v>290</v>
      </c>
      <c r="E72" s="23" t="s">
        <v>1082</v>
      </c>
      <c r="F72" s="37" t="str">
        <f>IFERROR(INDEX(tblProducts[Category],MATCH(tblSales[[#This Row],[Product]],tblProducts[Product],0)),"Uncategorized")</f>
        <v>Digital Products</v>
      </c>
      <c r="G72" s="42">
        <v>3</v>
      </c>
      <c r="H72" s="24">
        <v>149</v>
      </c>
      <c r="I72" s="43">
        <f>tblSales[[#This Row],[Quantity]]*tblSales[[#This Row],[Unit Price]]</f>
        <v>447</v>
      </c>
      <c r="J72" s="25" t="s">
        <v>102</v>
      </c>
      <c r="K72" s="25" t="s">
        <v>123</v>
      </c>
    </row>
    <row r="73" spans="2:11" ht="14.4" x14ac:dyDescent="0.3">
      <c r="B73" s="23" t="s">
        <v>1178</v>
      </c>
      <c r="C73" s="22">
        <v>46097</v>
      </c>
      <c r="D73" s="23" t="s">
        <v>290</v>
      </c>
      <c r="E73" s="23" t="s">
        <v>1086</v>
      </c>
      <c r="F73" s="37" t="str">
        <f>IFERROR(INDEX(tblProducts[Category],MATCH(tblSales[[#This Row],[Product]],tblProducts[Product],0)),"Uncategorized")</f>
        <v>Support Plans</v>
      </c>
      <c r="G73" s="42">
        <v>3</v>
      </c>
      <c r="H73" s="24">
        <v>350</v>
      </c>
      <c r="I73" s="43">
        <f>tblSales[[#This Row],[Quantity]]*tblSales[[#This Row],[Unit Price]]</f>
        <v>1050</v>
      </c>
      <c r="J73" s="25" t="s">
        <v>102</v>
      </c>
      <c r="K73" s="25" t="s">
        <v>123</v>
      </c>
    </row>
    <row r="74" spans="2:11" ht="14.4" x14ac:dyDescent="0.3">
      <c r="B74" s="23" t="s">
        <v>1179</v>
      </c>
      <c r="C74" s="22">
        <v>46106</v>
      </c>
      <c r="D74" s="23" t="s">
        <v>338</v>
      </c>
      <c r="E74" s="23" t="s">
        <v>1092</v>
      </c>
      <c r="F74" s="37" t="str">
        <f>IFERROR(INDEX(tblProducts[Category],MATCH(tblSales[[#This Row],[Product]],tblProducts[Product],0)),"Uncategorized")</f>
        <v>Training</v>
      </c>
      <c r="G74" s="42">
        <v>3</v>
      </c>
      <c r="H74" s="24">
        <v>900</v>
      </c>
      <c r="I74" s="43">
        <f>tblSales[[#This Row],[Quantity]]*tblSales[[#This Row],[Unit Price]]</f>
        <v>2700</v>
      </c>
      <c r="J74" s="25" t="s">
        <v>102</v>
      </c>
      <c r="K74" s="25" t="s">
        <v>123</v>
      </c>
    </row>
    <row r="75" spans="2:11" ht="14.4" x14ac:dyDescent="0.3">
      <c r="B75" s="23" t="s">
        <v>1180</v>
      </c>
      <c r="C75" s="22">
        <v>46108</v>
      </c>
      <c r="D75" s="23" t="s">
        <v>223</v>
      </c>
      <c r="E75" s="23" t="s">
        <v>1096</v>
      </c>
      <c r="F75" s="37" t="str">
        <f>IFERROR(INDEX(tblProducts[Category],MATCH(tblSales[[#This Row],[Product]],tblProducts[Product],0)),"Uncategorized")</f>
        <v>Training</v>
      </c>
      <c r="G75" s="42">
        <v>4</v>
      </c>
      <c r="H75" s="24">
        <v>120</v>
      </c>
      <c r="I75" s="43">
        <f>tblSales[[#This Row],[Quantity]]*tblSales[[#This Row],[Unit Price]]</f>
        <v>480</v>
      </c>
      <c r="J75" s="25" t="s">
        <v>102</v>
      </c>
      <c r="K75" s="25" t="s">
        <v>123</v>
      </c>
    </row>
    <row r="76" spans="2:11" ht="14.4" x14ac:dyDescent="0.3">
      <c r="B76" s="23" t="s">
        <v>1181</v>
      </c>
      <c r="C76" s="22">
        <v>46109</v>
      </c>
      <c r="D76" s="23" t="s">
        <v>219</v>
      </c>
      <c r="E76" s="23" t="s">
        <v>1086</v>
      </c>
      <c r="F76" s="37" t="str">
        <f>IFERROR(INDEX(tblProducts[Category],MATCH(tblSales[[#This Row],[Product]],tblProducts[Product],0)),"Uncategorized")</f>
        <v>Support Plans</v>
      </c>
      <c r="G76" s="42">
        <v>1</v>
      </c>
      <c r="H76" s="24">
        <v>350</v>
      </c>
      <c r="I76" s="43">
        <f>tblSales[[#This Row],[Quantity]]*tblSales[[#This Row],[Unit Price]]</f>
        <v>350</v>
      </c>
      <c r="J76" s="25" t="s">
        <v>102</v>
      </c>
      <c r="K76" s="25" t="s">
        <v>123</v>
      </c>
    </row>
    <row r="77" spans="2:11" ht="14.4" x14ac:dyDescent="0.3">
      <c r="B77" s="23" t="s">
        <v>1182</v>
      </c>
      <c r="C77" s="22">
        <v>46114</v>
      </c>
      <c r="D77" s="23" t="s">
        <v>307</v>
      </c>
      <c r="E77" s="23" t="s">
        <v>1087</v>
      </c>
      <c r="F77" s="37" t="str">
        <f>IFERROR(INDEX(tblProducts[Category],MATCH(tblSales[[#This Row],[Product]],tblProducts[Product],0)),"Uncategorized")</f>
        <v>Consulting</v>
      </c>
      <c r="G77" s="42">
        <v>1</v>
      </c>
      <c r="H77" s="24">
        <v>180</v>
      </c>
      <c r="I77" s="43">
        <f>tblSales[[#This Row],[Quantity]]*tblSales[[#This Row],[Unit Price]]</f>
        <v>180</v>
      </c>
      <c r="J77" s="25" t="s">
        <v>102</v>
      </c>
      <c r="K77" s="25" t="s">
        <v>123</v>
      </c>
    </row>
    <row r="78" spans="2:11" ht="14.4" x14ac:dyDescent="0.3">
      <c r="B78" s="23" t="s">
        <v>1183</v>
      </c>
      <c r="C78" s="22">
        <v>46116</v>
      </c>
      <c r="D78" s="23" t="s">
        <v>300</v>
      </c>
      <c r="E78" s="23" t="s">
        <v>1076</v>
      </c>
      <c r="F78" s="37" t="str">
        <f>IFERROR(INDEX(tblProducts[Category],MATCH(tblSales[[#This Row],[Product]],tblProducts[Product],0)),"Uncategorized")</f>
        <v>Support Plans</v>
      </c>
      <c r="G78" s="42">
        <v>2</v>
      </c>
      <c r="H78" s="24">
        <v>240</v>
      </c>
      <c r="I78" s="43">
        <f>tblSales[[#This Row],[Quantity]]*tblSales[[#This Row],[Unit Price]]</f>
        <v>480</v>
      </c>
      <c r="J78" s="25" t="s">
        <v>102</v>
      </c>
      <c r="K78" s="25" t="s">
        <v>123</v>
      </c>
    </row>
    <row r="79" spans="2:11" ht="14.4" x14ac:dyDescent="0.3">
      <c r="B79" s="23" t="s">
        <v>1184</v>
      </c>
      <c r="C79" s="22">
        <v>46116</v>
      </c>
      <c r="D79" s="23" t="s">
        <v>223</v>
      </c>
      <c r="E79" s="23" t="s">
        <v>1082</v>
      </c>
      <c r="F79" s="37" t="str">
        <f>IFERROR(INDEX(tblProducts[Category],MATCH(tblSales[[#This Row],[Product]],tblProducts[Product],0)),"Uncategorized")</f>
        <v>Digital Products</v>
      </c>
      <c r="G79" s="42">
        <v>1</v>
      </c>
      <c r="H79" s="24">
        <v>149</v>
      </c>
      <c r="I79" s="43">
        <f>tblSales[[#This Row],[Quantity]]*tblSales[[#This Row],[Unit Price]]</f>
        <v>149</v>
      </c>
      <c r="J79" s="25" t="s">
        <v>102</v>
      </c>
      <c r="K79" s="25" t="s">
        <v>123</v>
      </c>
    </row>
    <row r="80" spans="2:11" ht="14.4" x14ac:dyDescent="0.3">
      <c r="B80" s="23" t="s">
        <v>1185</v>
      </c>
      <c r="C80" s="22">
        <v>46118</v>
      </c>
      <c r="D80" s="23" t="s">
        <v>277</v>
      </c>
      <c r="E80" s="23" t="s">
        <v>1076</v>
      </c>
      <c r="F80" s="37" t="str">
        <f>IFERROR(INDEX(tblProducts[Category],MATCH(tblSales[[#This Row],[Product]],tblProducts[Product],0)),"Uncategorized")</f>
        <v>Support Plans</v>
      </c>
      <c r="G80" s="42">
        <v>3</v>
      </c>
      <c r="H80" s="24">
        <v>240</v>
      </c>
      <c r="I80" s="43">
        <f>tblSales[[#This Row],[Quantity]]*tblSales[[#This Row],[Unit Price]]</f>
        <v>720</v>
      </c>
      <c r="J80" s="25" t="s">
        <v>102</v>
      </c>
      <c r="K80" s="25" t="s">
        <v>123</v>
      </c>
    </row>
    <row r="81" spans="2:11" ht="14.4" x14ac:dyDescent="0.3">
      <c r="B81" s="23" t="s">
        <v>1186</v>
      </c>
      <c r="C81" s="22">
        <v>46118</v>
      </c>
      <c r="D81" s="23" t="s">
        <v>277</v>
      </c>
      <c r="E81" s="23" t="s">
        <v>1076</v>
      </c>
      <c r="F81" s="37" t="str">
        <f>IFERROR(INDEX(tblProducts[Category],MATCH(tblSales[[#This Row],[Product]],tblProducts[Product],0)),"Uncategorized")</f>
        <v>Support Plans</v>
      </c>
      <c r="G81" s="42">
        <v>1</v>
      </c>
      <c r="H81" s="24">
        <v>240</v>
      </c>
      <c r="I81" s="43">
        <f>tblSales[[#This Row],[Quantity]]*tblSales[[#This Row],[Unit Price]]</f>
        <v>240</v>
      </c>
      <c r="J81" s="25" t="s">
        <v>102</v>
      </c>
      <c r="K81" s="25" t="s">
        <v>123</v>
      </c>
    </row>
    <row r="82" spans="2:11" ht="14.4" x14ac:dyDescent="0.3">
      <c r="B82" s="23" t="s">
        <v>1187</v>
      </c>
      <c r="C82" s="22">
        <v>46124</v>
      </c>
      <c r="D82" s="23" t="s">
        <v>219</v>
      </c>
      <c r="E82" s="23" t="s">
        <v>1082</v>
      </c>
      <c r="F82" s="37" t="str">
        <f>IFERROR(INDEX(tblProducts[Category],MATCH(tblSales[[#This Row],[Product]],tblProducts[Product],0)),"Uncategorized")</f>
        <v>Digital Products</v>
      </c>
      <c r="G82" s="42">
        <v>3</v>
      </c>
      <c r="H82" s="24">
        <v>149</v>
      </c>
      <c r="I82" s="43">
        <f>tblSales[[#This Row],[Quantity]]*tblSales[[#This Row],[Unit Price]]</f>
        <v>447</v>
      </c>
      <c r="J82" s="25" t="s">
        <v>102</v>
      </c>
      <c r="K82" s="25" t="s">
        <v>123</v>
      </c>
    </row>
    <row r="83" spans="2:11" ht="14.4" x14ac:dyDescent="0.3">
      <c r="B83" s="23" t="s">
        <v>1188</v>
      </c>
      <c r="C83" s="22">
        <v>46126</v>
      </c>
      <c r="D83" s="23" t="s">
        <v>219</v>
      </c>
      <c r="E83" s="23" t="s">
        <v>1077</v>
      </c>
      <c r="F83" s="37" t="str">
        <f>IFERROR(INDEX(tblProducts[Category],MATCH(tblSales[[#This Row],[Product]],tblProducts[Product],0)),"Uncategorized")</f>
        <v>Digital Products</v>
      </c>
      <c r="G83" s="42">
        <v>5</v>
      </c>
      <c r="H83" s="24">
        <v>49</v>
      </c>
      <c r="I83" s="43">
        <f>tblSales[[#This Row],[Quantity]]*tblSales[[#This Row],[Unit Price]]</f>
        <v>245</v>
      </c>
      <c r="J83" s="25" t="s">
        <v>102</v>
      </c>
      <c r="K83" s="25" t="s">
        <v>123</v>
      </c>
    </row>
    <row r="84" spans="2:11" ht="14.4" x14ac:dyDescent="0.3">
      <c r="B84" s="23" t="s">
        <v>1189</v>
      </c>
      <c r="C84" s="22">
        <v>46129</v>
      </c>
      <c r="D84" s="23" t="s">
        <v>602</v>
      </c>
      <c r="E84" s="23" t="s">
        <v>1076</v>
      </c>
      <c r="F84" s="37" t="str">
        <f>IFERROR(INDEX(tblProducts[Category],MATCH(tblSales[[#This Row],[Product]],tblProducts[Product],0)),"Uncategorized")</f>
        <v>Support Plans</v>
      </c>
      <c r="G84" s="42">
        <v>3</v>
      </c>
      <c r="H84" s="24">
        <v>240</v>
      </c>
      <c r="I84" s="43">
        <f>tblSales[[#This Row],[Quantity]]*tblSales[[#This Row],[Unit Price]]</f>
        <v>720</v>
      </c>
      <c r="J84" s="25" t="s">
        <v>1116</v>
      </c>
      <c r="K84" s="25" t="s">
        <v>126</v>
      </c>
    </row>
    <row r="85" spans="2:11" ht="14.4" x14ac:dyDescent="0.3">
      <c r="B85" s="23" t="s">
        <v>1190</v>
      </c>
      <c r="C85" s="22">
        <v>46133</v>
      </c>
      <c r="D85" s="23" t="s">
        <v>307</v>
      </c>
      <c r="E85" s="23" t="s">
        <v>1086</v>
      </c>
      <c r="F85" s="37" t="str">
        <f>IFERROR(INDEX(tblProducts[Category],MATCH(tblSales[[#This Row],[Product]],tblProducts[Product],0)),"Uncategorized")</f>
        <v>Support Plans</v>
      </c>
      <c r="G85" s="42">
        <v>3</v>
      </c>
      <c r="H85" s="24">
        <v>350</v>
      </c>
      <c r="I85" s="43">
        <f>tblSales[[#This Row],[Quantity]]*tblSales[[#This Row],[Unit Price]]</f>
        <v>1050</v>
      </c>
      <c r="J85" s="25" t="s">
        <v>102</v>
      </c>
      <c r="K85" s="25" t="s">
        <v>123</v>
      </c>
    </row>
    <row r="86" spans="2:11" ht="14.4" x14ac:dyDescent="0.3">
      <c r="B86" s="23" t="s">
        <v>1191</v>
      </c>
      <c r="C86" s="22">
        <v>46133</v>
      </c>
      <c r="D86" s="23" t="s">
        <v>345</v>
      </c>
      <c r="E86" s="23" t="s">
        <v>1096</v>
      </c>
      <c r="F86" s="37" t="str">
        <f>IFERROR(INDEX(tblProducts[Category],MATCH(tblSales[[#This Row],[Product]],tblProducts[Product],0)),"Uncategorized")</f>
        <v>Training</v>
      </c>
      <c r="G86" s="42">
        <v>11</v>
      </c>
      <c r="H86" s="24">
        <v>120</v>
      </c>
      <c r="I86" s="43">
        <f>tblSales[[#This Row],[Quantity]]*tblSales[[#This Row],[Unit Price]]</f>
        <v>1320</v>
      </c>
      <c r="J86" s="25" t="s">
        <v>102</v>
      </c>
      <c r="K86" s="25" t="s">
        <v>123</v>
      </c>
    </row>
    <row r="87" spans="2:11" ht="14.4" x14ac:dyDescent="0.3">
      <c r="B87" s="23" t="s">
        <v>1192</v>
      </c>
      <c r="C87" s="22">
        <v>46134</v>
      </c>
      <c r="D87" s="23" t="s">
        <v>316</v>
      </c>
      <c r="E87" s="23" t="s">
        <v>1076</v>
      </c>
      <c r="F87" s="37" t="str">
        <f>IFERROR(INDEX(tblProducts[Category],MATCH(tblSales[[#This Row],[Product]],tblProducts[Product],0)),"Uncategorized")</f>
        <v>Support Plans</v>
      </c>
      <c r="G87" s="42">
        <v>3</v>
      </c>
      <c r="H87" s="24">
        <v>240</v>
      </c>
      <c r="I87" s="43">
        <f>tblSales[[#This Row],[Quantity]]*tblSales[[#This Row],[Unit Price]]</f>
        <v>720</v>
      </c>
      <c r="J87" s="25" t="s">
        <v>102</v>
      </c>
      <c r="K87" s="25" t="s">
        <v>123</v>
      </c>
    </row>
    <row r="88" spans="2:11" ht="14.4" x14ac:dyDescent="0.3">
      <c r="B88" s="23" t="s">
        <v>1193</v>
      </c>
      <c r="C88" s="22">
        <v>46136</v>
      </c>
      <c r="D88" s="23" t="s">
        <v>353</v>
      </c>
      <c r="E88" s="23" t="s">
        <v>1082</v>
      </c>
      <c r="F88" s="37" t="str">
        <f>IFERROR(INDEX(tblProducts[Category],MATCH(tblSales[[#This Row],[Product]],tblProducts[Product],0)),"Uncategorized")</f>
        <v>Digital Products</v>
      </c>
      <c r="G88" s="42">
        <v>4</v>
      </c>
      <c r="H88" s="24">
        <v>149</v>
      </c>
      <c r="I88" s="43">
        <f>tblSales[[#This Row],[Quantity]]*tblSales[[#This Row],[Unit Price]]</f>
        <v>596</v>
      </c>
      <c r="J88" s="25" t="s">
        <v>102</v>
      </c>
      <c r="K88" s="25" t="s">
        <v>123</v>
      </c>
    </row>
    <row r="89" spans="2:11" ht="14.4" x14ac:dyDescent="0.3">
      <c r="B89" s="23" t="s">
        <v>1194</v>
      </c>
      <c r="C89" s="22">
        <v>46137</v>
      </c>
      <c r="D89" s="23" t="s">
        <v>277</v>
      </c>
      <c r="E89" s="23" t="s">
        <v>1076</v>
      </c>
      <c r="F89" s="37" t="str">
        <f>IFERROR(INDEX(tblProducts[Category],MATCH(tblSales[[#This Row],[Product]],tblProducts[Product],0)),"Uncategorized")</f>
        <v>Support Plans</v>
      </c>
      <c r="G89" s="42">
        <v>1</v>
      </c>
      <c r="H89" s="24">
        <v>240</v>
      </c>
      <c r="I89" s="43">
        <f>tblSales[[#This Row],[Quantity]]*tblSales[[#This Row],[Unit Price]]</f>
        <v>240</v>
      </c>
      <c r="J89" s="25" t="s">
        <v>102</v>
      </c>
      <c r="K89" s="25" t="s">
        <v>123</v>
      </c>
    </row>
    <row r="90" spans="2:11" ht="14.4" x14ac:dyDescent="0.3">
      <c r="B90" s="23" t="s">
        <v>1195</v>
      </c>
      <c r="C90" s="22">
        <v>46138</v>
      </c>
      <c r="D90" s="23" t="s">
        <v>411</v>
      </c>
      <c r="E90" s="23" t="s">
        <v>1087</v>
      </c>
      <c r="F90" s="37" t="str">
        <f>IFERROR(INDEX(tblProducts[Category],MATCH(tblSales[[#This Row],[Product]],tblProducts[Product],0)),"Uncategorized")</f>
        <v>Consulting</v>
      </c>
      <c r="G90" s="42">
        <v>3</v>
      </c>
      <c r="H90" s="24">
        <v>180</v>
      </c>
      <c r="I90" s="43">
        <f>tblSales[[#This Row],[Quantity]]*tblSales[[#This Row],[Unit Price]]</f>
        <v>540</v>
      </c>
      <c r="J90" s="25" t="s">
        <v>102</v>
      </c>
      <c r="K90" s="25" t="s">
        <v>123</v>
      </c>
    </row>
    <row r="91" spans="2:11" ht="14.4" x14ac:dyDescent="0.3">
      <c r="B91" s="23" t="s">
        <v>1196</v>
      </c>
      <c r="C91" s="22">
        <v>46143</v>
      </c>
      <c r="D91" s="23" t="s">
        <v>219</v>
      </c>
      <c r="E91" s="23" t="s">
        <v>1087</v>
      </c>
      <c r="F91" s="37" t="str">
        <f>IFERROR(INDEX(tblProducts[Category],MATCH(tblSales[[#This Row],[Product]],tblProducts[Product],0)),"Uncategorized")</f>
        <v>Consulting</v>
      </c>
      <c r="G91" s="42">
        <v>4</v>
      </c>
      <c r="H91" s="24">
        <v>180</v>
      </c>
      <c r="I91" s="43">
        <f>tblSales[[#This Row],[Quantity]]*tblSales[[#This Row],[Unit Price]]</f>
        <v>720</v>
      </c>
      <c r="J91" s="25" t="s">
        <v>102</v>
      </c>
      <c r="K91" s="25" t="s">
        <v>123</v>
      </c>
    </row>
    <row r="92" spans="2:11" ht="14.4" x14ac:dyDescent="0.3">
      <c r="B92" s="23" t="s">
        <v>1197</v>
      </c>
      <c r="C92" s="22">
        <v>46144</v>
      </c>
      <c r="D92" s="23" t="s">
        <v>307</v>
      </c>
      <c r="E92" s="23" t="s">
        <v>1096</v>
      </c>
      <c r="F92" s="37" t="str">
        <f>IFERROR(INDEX(tblProducts[Category],MATCH(tblSales[[#This Row],[Product]],tblProducts[Product],0)),"Uncategorized")</f>
        <v>Training</v>
      </c>
      <c r="G92" s="42">
        <v>2</v>
      </c>
      <c r="H92" s="24">
        <v>120</v>
      </c>
      <c r="I92" s="43">
        <f>tblSales[[#This Row],[Quantity]]*tblSales[[#This Row],[Unit Price]]</f>
        <v>240</v>
      </c>
      <c r="J92" s="25" t="s">
        <v>102</v>
      </c>
      <c r="K92" s="25" t="s">
        <v>123</v>
      </c>
    </row>
    <row r="93" spans="2:11" ht="14.4" x14ac:dyDescent="0.3">
      <c r="B93" s="23" t="s">
        <v>1198</v>
      </c>
      <c r="C93" s="22">
        <v>46152</v>
      </c>
      <c r="D93" s="23" t="s">
        <v>290</v>
      </c>
      <c r="E93" s="23" t="s">
        <v>1076</v>
      </c>
      <c r="F93" s="37" t="str">
        <f>IFERROR(INDEX(tblProducts[Category],MATCH(tblSales[[#This Row],[Product]],tblProducts[Product],0)),"Uncategorized")</f>
        <v>Support Plans</v>
      </c>
      <c r="G93" s="42">
        <v>2</v>
      </c>
      <c r="H93" s="24">
        <v>240</v>
      </c>
      <c r="I93" s="43">
        <f>tblSales[[#This Row],[Quantity]]*tblSales[[#This Row],[Unit Price]]</f>
        <v>480</v>
      </c>
      <c r="J93" s="25" t="s">
        <v>102</v>
      </c>
      <c r="K93" s="25" t="s">
        <v>123</v>
      </c>
    </row>
    <row r="94" spans="2:11" ht="14.4" x14ac:dyDescent="0.3">
      <c r="B94" s="23" t="s">
        <v>1199</v>
      </c>
      <c r="C94" s="22">
        <v>46152</v>
      </c>
      <c r="D94" s="23" t="s">
        <v>290</v>
      </c>
      <c r="E94" s="23" t="s">
        <v>1077</v>
      </c>
      <c r="F94" s="37" t="str">
        <f>IFERROR(INDEX(tblProducts[Category],MATCH(tblSales[[#This Row],[Product]],tblProducts[Product],0)),"Uncategorized")</f>
        <v>Digital Products</v>
      </c>
      <c r="G94" s="42">
        <v>1</v>
      </c>
      <c r="H94" s="24">
        <v>49</v>
      </c>
      <c r="I94" s="43">
        <f>tblSales[[#This Row],[Quantity]]*tblSales[[#This Row],[Unit Price]]</f>
        <v>49</v>
      </c>
      <c r="J94" s="25" t="s">
        <v>102</v>
      </c>
      <c r="K94" s="25" t="s">
        <v>123</v>
      </c>
    </row>
    <row r="95" spans="2:11" ht="14.4" x14ac:dyDescent="0.3">
      <c r="B95" s="23" t="s">
        <v>1200</v>
      </c>
      <c r="C95" s="22">
        <v>46152</v>
      </c>
      <c r="D95" s="23" t="s">
        <v>297</v>
      </c>
      <c r="E95" s="23" t="s">
        <v>1096</v>
      </c>
      <c r="F95" s="37" t="str">
        <f>IFERROR(INDEX(tblProducts[Category],MATCH(tblSales[[#This Row],[Product]],tblProducts[Product],0)),"Uncategorized")</f>
        <v>Training</v>
      </c>
      <c r="G95" s="42">
        <v>3</v>
      </c>
      <c r="H95" s="24">
        <v>120</v>
      </c>
      <c r="I95" s="43">
        <f>tblSales[[#This Row],[Quantity]]*tblSales[[#This Row],[Unit Price]]</f>
        <v>360</v>
      </c>
      <c r="J95" s="25" t="s">
        <v>102</v>
      </c>
      <c r="K95" s="25" t="s">
        <v>123</v>
      </c>
    </row>
    <row r="96" spans="2:11" ht="14.4" x14ac:dyDescent="0.3">
      <c r="B96" s="23" t="s">
        <v>1201</v>
      </c>
      <c r="C96" s="22">
        <v>46153</v>
      </c>
      <c r="D96" s="23" t="s">
        <v>316</v>
      </c>
      <c r="E96" s="23" t="s">
        <v>1077</v>
      </c>
      <c r="F96" s="37" t="str">
        <f>IFERROR(INDEX(tblProducts[Category],MATCH(tblSales[[#This Row],[Product]],tblProducts[Product],0)),"Uncategorized")</f>
        <v>Digital Products</v>
      </c>
      <c r="G96" s="42">
        <v>3</v>
      </c>
      <c r="H96" s="24">
        <v>49</v>
      </c>
      <c r="I96" s="43">
        <f>tblSales[[#This Row],[Quantity]]*tblSales[[#This Row],[Unit Price]]</f>
        <v>147</v>
      </c>
      <c r="J96" s="25" t="s">
        <v>102</v>
      </c>
      <c r="K96" s="25" t="s">
        <v>123</v>
      </c>
    </row>
    <row r="97" spans="2:11" ht="14.4" x14ac:dyDescent="0.3">
      <c r="B97" s="23" t="s">
        <v>1202</v>
      </c>
      <c r="C97" s="22">
        <v>46154</v>
      </c>
      <c r="D97" s="23" t="s">
        <v>353</v>
      </c>
      <c r="E97" s="23" t="s">
        <v>1096</v>
      </c>
      <c r="F97" s="37" t="str">
        <f>IFERROR(INDEX(tblProducts[Category],MATCH(tblSales[[#This Row],[Product]],tblProducts[Product],0)),"Uncategorized")</f>
        <v>Training</v>
      </c>
      <c r="G97" s="42">
        <v>12</v>
      </c>
      <c r="H97" s="24">
        <v>120</v>
      </c>
      <c r="I97" s="43">
        <f>tblSales[[#This Row],[Quantity]]*tblSales[[#This Row],[Unit Price]]</f>
        <v>1440</v>
      </c>
      <c r="J97" s="25" t="s">
        <v>103</v>
      </c>
      <c r="K97" s="25" t="s">
        <v>123</v>
      </c>
    </row>
    <row r="98" spans="2:11" ht="14.4" x14ac:dyDescent="0.3">
      <c r="B98" s="23" t="s">
        <v>1203</v>
      </c>
      <c r="C98" s="22">
        <v>46155</v>
      </c>
      <c r="D98" s="23" t="s">
        <v>300</v>
      </c>
      <c r="E98" s="23" t="s">
        <v>1077</v>
      </c>
      <c r="F98" s="37" t="str">
        <f>IFERROR(INDEX(tblProducts[Category],MATCH(tblSales[[#This Row],[Product]],tblProducts[Product],0)),"Uncategorized")</f>
        <v>Digital Products</v>
      </c>
      <c r="G98" s="42">
        <v>5</v>
      </c>
      <c r="H98" s="24">
        <v>49</v>
      </c>
      <c r="I98" s="43">
        <f>tblSales[[#This Row],[Quantity]]*tblSales[[#This Row],[Unit Price]]</f>
        <v>245</v>
      </c>
      <c r="J98" s="25" t="s">
        <v>102</v>
      </c>
      <c r="K98" s="25" t="s">
        <v>123</v>
      </c>
    </row>
    <row r="99" spans="2:11" ht="14.4" x14ac:dyDescent="0.3">
      <c r="B99" s="23" t="s">
        <v>1204</v>
      </c>
      <c r="C99" s="22">
        <v>46156</v>
      </c>
      <c r="D99" s="23" t="s">
        <v>304</v>
      </c>
      <c r="E99" s="23" t="s">
        <v>1087</v>
      </c>
      <c r="F99" s="37" t="str">
        <f>IFERROR(INDEX(tblProducts[Category],MATCH(tblSales[[#This Row],[Product]],tblProducts[Product],0)),"Uncategorized")</f>
        <v>Consulting</v>
      </c>
      <c r="G99" s="42">
        <v>4</v>
      </c>
      <c r="H99" s="24">
        <v>180</v>
      </c>
      <c r="I99" s="43">
        <f>tblSales[[#This Row],[Quantity]]*tblSales[[#This Row],[Unit Price]]</f>
        <v>720</v>
      </c>
      <c r="J99" s="25" t="s">
        <v>1116</v>
      </c>
      <c r="K99" s="25" t="s">
        <v>126</v>
      </c>
    </row>
    <row r="100" spans="2:11" ht="14.4" x14ac:dyDescent="0.3">
      <c r="B100" s="23" t="s">
        <v>1205</v>
      </c>
      <c r="C100" s="22">
        <v>46165</v>
      </c>
      <c r="D100" s="23" t="s">
        <v>227</v>
      </c>
      <c r="E100" s="23" t="s">
        <v>1082</v>
      </c>
      <c r="F100" s="37" t="str">
        <f>IFERROR(INDEX(tblProducts[Category],MATCH(tblSales[[#This Row],[Product]],tblProducts[Product],0)),"Uncategorized")</f>
        <v>Digital Products</v>
      </c>
      <c r="G100" s="42">
        <v>4</v>
      </c>
      <c r="H100" s="24">
        <v>149</v>
      </c>
      <c r="I100" s="43">
        <f>tblSales[[#This Row],[Quantity]]*tblSales[[#This Row],[Unit Price]]</f>
        <v>596</v>
      </c>
      <c r="J100" s="25" t="s">
        <v>102</v>
      </c>
      <c r="K100" s="25" t="s">
        <v>123</v>
      </c>
    </row>
    <row r="101" spans="2:11" ht="14.4" x14ac:dyDescent="0.3">
      <c r="B101" s="23" t="s">
        <v>1206</v>
      </c>
      <c r="C101" s="22">
        <v>46165</v>
      </c>
      <c r="D101" s="23" t="s">
        <v>411</v>
      </c>
      <c r="E101" s="23" t="s">
        <v>1082</v>
      </c>
      <c r="F101" s="37" t="str">
        <f>IFERROR(INDEX(tblProducts[Category],MATCH(tblSales[[#This Row],[Product]],tblProducts[Product],0)),"Uncategorized")</f>
        <v>Digital Products</v>
      </c>
      <c r="G101" s="42">
        <v>2</v>
      </c>
      <c r="H101" s="24">
        <v>149</v>
      </c>
      <c r="I101" s="43">
        <f>tblSales[[#This Row],[Quantity]]*tblSales[[#This Row],[Unit Price]]</f>
        <v>298</v>
      </c>
      <c r="J101" s="25" t="s">
        <v>102</v>
      </c>
      <c r="K101" s="25" t="s">
        <v>123</v>
      </c>
    </row>
    <row r="102" spans="2:11" ht="14.4" x14ac:dyDescent="0.3">
      <c r="B102" s="23" t="s">
        <v>1207</v>
      </c>
      <c r="C102" s="22">
        <v>46166</v>
      </c>
      <c r="D102" s="23" t="s">
        <v>297</v>
      </c>
      <c r="E102" s="23" t="s">
        <v>1092</v>
      </c>
      <c r="F102" s="37" t="str">
        <f>IFERROR(INDEX(tblProducts[Category],MATCH(tblSales[[#This Row],[Product]],tblProducts[Product],0)),"Uncategorized")</f>
        <v>Training</v>
      </c>
      <c r="G102" s="42">
        <v>3</v>
      </c>
      <c r="H102" s="24">
        <v>900</v>
      </c>
      <c r="I102" s="43">
        <f>tblSales[[#This Row],[Quantity]]*tblSales[[#This Row],[Unit Price]]</f>
        <v>2700</v>
      </c>
      <c r="J102" s="25" t="s">
        <v>103</v>
      </c>
      <c r="K102" s="25" t="s">
        <v>123</v>
      </c>
    </row>
    <row r="103" spans="2:11" ht="14.4" x14ac:dyDescent="0.3">
      <c r="B103" s="23" t="s">
        <v>1208</v>
      </c>
      <c r="C103" s="22">
        <v>46169</v>
      </c>
      <c r="D103" s="23" t="s">
        <v>359</v>
      </c>
      <c r="E103" s="23" t="s">
        <v>1076</v>
      </c>
      <c r="F103" s="37" t="str">
        <f>IFERROR(INDEX(tblProducts[Category],MATCH(tblSales[[#This Row],[Product]],tblProducts[Product],0)),"Uncategorized")</f>
        <v>Support Plans</v>
      </c>
      <c r="G103" s="42">
        <v>6</v>
      </c>
      <c r="H103" s="24">
        <v>240</v>
      </c>
      <c r="I103" s="43">
        <f>tblSales[[#This Row],[Quantity]]*tblSales[[#This Row],[Unit Price]]</f>
        <v>1440</v>
      </c>
      <c r="J103" s="25" t="s">
        <v>103</v>
      </c>
      <c r="K103" s="25" t="s">
        <v>123</v>
      </c>
    </row>
    <row r="104" spans="2:11" ht="14.4" x14ac:dyDescent="0.3">
      <c r="B104" s="23" t="s">
        <v>1209</v>
      </c>
      <c r="C104" s="22">
        <v>46171</v>
      </c>
      <c r="D104" s="23" t="s">
        <v>290</v>
      </c>
      <c r="E104" s="23" t="s">
        <v>1087</v>
      </c>
      <c r="F104" s="37" t="str">
        <f>IFERROR(INDEX(tblProducts[Category],MATCH(tblSales[[#This Row],[Product]],tblProducts[Product],0)),"Uncategorized")</f>
        <v>Consulting</v>
      </c>
      <c r="G104" s="42">
        <v>3</v>
      </c>
      <c r="H104" s="24">
        <v>180</v>
      </c>
      <c r="I104" s="43">
        <f>tblSales[[#This Row],[Quantity]]*tblSales[[#This Row],[Unit Price]]</f>
        <v>540</v>
      </c>
      <c r="J104" s="25" t="s">
        <v>102</v>
      </c>
      <c r="K104" s="25" t="s">
        <v>123</v>
      </c>
    </row>
    <row r="105" spans="2:11" ht="14.4" x14ac:dyDescent="0.3">
      <c r="B105" s="23" t="s">
        <v>1210</v>
      </c>
      <c r="C105" s="22">
        <v>46173</v>
      </c>
      <c r="D105" s="23" t="s">
        <v>304</v>
      </c>
      <c r="E105" s="23" t="s">
        <v>1082</v>
      </c>
      <c r="F105" s="37" t="str">
        <f>IFERROR(INDEX(tblProducts[Category],MATCH(tblSales[[#This Row],[Product]],tblProducts[Product],0)),"Uncategorized")</f>
        <v>Digital Products</v>
      </c>
      <c r="G105" s="42">
        <v>1</v>
      </c>
      <c r="H105" s="24">
        <v>149</v>
      </c>
      <c r="I105" s="43">
        <f>tblSales[[#This Row],[Quantity]]*tblSales[[#This Row],[Unit Price]]</f>
        <v>149</v>
      </c>
      <c r="J105" s="25" t="s">
        <v>102</v>
      </c>
      <c r="K105" s="25" t="s">
        <v>123</v>
      </c>
    </row>
    <row r="106" spans="2:11" ht="14.4" x14ac:dyDescent="0.3">
      <c r="B106" s="23" t="s">
        <v>1211</v>
      </c>
      <c r="C106" s="22">
        <v>46175</v>
      </c>
      <c r="D106" s="23" t="s">
        <v>294</v>
      </c>
      <c r="E106" s="23" t="s">
        <v>1086</v>
      </c>
      <c r="F106" s="37" t="str">
        <f>IFERROR(INDEX(tblProducts[Category],MATCH(tblSales[[#This Row],[Product]],tblProducts[Product],0)),"Uncategorized")</f>
        <v>Support Plans</v>
      </c>
      <c r="G106" s="42">
        <v>2</v>
      </c>
      <c r="H106" s="24">
        <v>350</v>
      </c>
      <c r="I106" s="43">
        <f>tblSales[[#This Row],[Quantity]]*tblSales[[#This Row],[Unit Price]]</f>
        <v>700</v>
      </c>
      <c r="J106" s="25" t="s">
        <v>102</v>
      </c>
      <c r="K106" s="25" t="s">
        <v>123</v>
      </c>
    </row>
    <row r="107" spans="2:11" ht="14.4" x14ac:dyDescent="0.3">
      <c r="B107" s="23" t="s">
        <v>1212</v>
      </c>
      <c r="C107" s="22">
        <v>46176</v>
      </c>
      <c r="D107" s="23" t="s">
        <v>345</v>
      </c>
      <c r="E107" s="23" t="s">
        <v>1092</v>
      </c>
      <c r="F107" s="37" t="str">
        <f>IFERROR(INDEX(tblProducts[Category],MATCH(tblSales[[#This Row],[Product]],tblProducts[Product],0)),"Uncategorized")</f>
        <v>Training</v>
      </c>
      <c r="G107" s="42">
        <v>3</v>
      </c>
      <c r="H107" s="24">
        <v>900</v>
      </c>
      <c r="I107" s="43">
        <f>tblSales[[#This Row],[Quantity]]*tblSales[[#This Row],[Unit Price]]</f>
        <v>2700</v>
      </c>
      <c r="J107" s="25" t="s">
        <v>102</v>
      </c>
      <c r="K107" s="25" t="s">
        <v>123</v>
      </c>
    </row>
    <row r="108" spans="2:11" ht="14.4" x14ac:dyDescent="0.3">
      <c r="B108" s="23" t="s">
        <v>1213</v>
      </c>
      <c r="C108" s="22">
        <v>46178</v>
      </c>
      <c r="D108" s="23" t="s">
        <v>307</v>
      </c>
      <c r="E108" s="23" t="s">
        <v>1077</v>
      </c>
      <c r="F108" s="37" t="str">
        <f>IFERROR(INDEX(tblProducts[Category],MATCH(tblSales[[#This Row],[Product]],tblProducts[Product],0)),"Uncategorized")</f>
        <v>Digital Products</v>
      </c>
      <c r="G108" s="42">
        <v>1</v>
      </c>
      <c r="H108" s="24">
        <v>49</v>
      </c>
      <c r="I108" s="43">
        <f>tblSales[[#This Row],[Quantity]]*tblSales[[#This Row],[Unit Price]]</f>
        <v>49</v>
      </c>
      <c r="J108" s="25" t="s">
        <v>1116</v>
      </c>
      <c r="K108" s="25" t="s">
        <v>126</v>
      </c>
    </row>
    <row r="109" spans="2:11" ht="14.4" x14ac:dyDescent="0.3">
      <c r="B109" s="23" t="s">
        <v>1214</v>
      </c>
      <c r="C109" s="22">
        <v>46179</v>
      </c>
      <c r="D109" s="23" t="s">
        <v>345</v>
      </c>
      <c r="E109" s="23" t="s">
        <v>1076</v>
      </c>
      <c r="F109" s="37" t="str">
        <f>IFERROR(INDEX(tblProducts[Category],MATCH(tblSales[[#This Row],[Product]],tblProducts[Product],0)),"Uncategorized")</f>
        <v>Support Plans</v>
      </c>
      <c r="G109" s="42">
        <v>4</v>
      </c>
      <c r="H109" s="24">
        <v>240</v>
      </c>
      <c r="I109" s="43">
        <f>tblSales[[#This Row],[Quantity]]*tblSales[[#This Row],[Unit Price]]</f>
        <v>960</v>
      </c>
      <c r="J109" s="25" t="s">
        <v>1116</v>
      </c>
      <c r="K109" s="25" t="s">
        <v>126</v>
      </c>
    </row>
    <row r="110" spans="2:11" ht="14.4" x14ac:dyDescent="0.3">
      <c r="B110" s="23" t="s">
        <v>1215</v>
      </c>
      <c r="C110" s="22">
        <v>46182</v>
      </c>
      <c r="D110" s="23" t="s">
        <v>316</v>
      </c>
      <c r="E110" s="23" t="s">
        <v>1076</v>
      </c>
      <c r="F110" s="37" t="str">
        <f>IFERROR(INDEX(tblProducts[Category],MATCH(tblSales[[#This Row],[Product]],tblProducts[Product],0)),"Uncategorized")</f>
        <v>Support Plans</v>
      </c>
      <c r="G110" s="42">
        <v>6</v>
      </c>
      <c r="H110" s="24">
        <v>240</v>
      </c>
      <c r="I110" s="43">
        <f>tblSales[[#This Row],[Quantity]]*tblSales[[#This Row],[Unit Price]]</f>
        <v>1440</v>
      </c>
      <c r="J110" s="25" t="s">
        <v>103</v>
      </c>
      <c r="K110" s="25" t="s">
        <v>123</v>
      </c>
    </row>
    <row r="111" spans="2:11" ht="14.4" x14ac:dyDescent="0.3">
      <c r="B111" s="23" t="s">
        <v>1216</v>
      </c>
      <c r="C111" s="22">
        <v>46182</v>
      </c>
      <c r="D111" s="23" t="s">
        <v>294</v>
      </c>
      <c r="E111" s="23" t="s">
        <v>1076</v>
      </c>
      <c r="F111" s="37" t="str">
        <f>IFERROR(INDEX(tblProducts[Category],MATCH(tblSales[[#This Row],[Product]],tblProducts[Product],0)),"Uncategorized")</f>
        <v>Support Plans</v>
      </c>
      <c r="G111" s="42">
        <v>6</v>
      </c>
      <c r="H111" s="24">
        <v>240</v>
      </c>
      <c r="I111" s="43">
        <f>tblSales[[#This Row],[Quantity]]*tblSales[[#This Row],[Unit Price]]</f>
        <v>1440</v>
      </c>
      <c r="J111" s="25" t="s">
        <v>102</v>
      </c>
      <c r="K111" s="25" t="s">
        <v>123</v>
      </c>
    </row>
    <row r="112" spans="2:11" ht="14.4" x14ac:dyDescent="0.3">
      <c r="B112" s="23" t="s">
        <v>1217</v>
      </c>
      <c r="C112" s="22">
        <v>46184</v>
      </c>
      <c r="D112" s="23" t="s">
        <v>227</v>
      </c>
      <c r="E112" s="23" t="s">
        <v>1096</v>
      </c>
      <c r="F112" s="37" t="str">
        <f>IFERROR(INDEX(tblProducts[Category],MATCH(tblSales[[#This Row],[Product]],tblProducts[Product],0)),"Uncategorized")</f>
        <v>Training</v>
      </c>
      <c r="G112" s="42">
        <v>7</v>
      </c>
      <c r="H112" s="24">
        <v>120</v>
      </c>
      <c r="I112" s="43">
        <f>tblSales[[#This Row],[Quantity]]*tblSales[[#This Row],[Unit Price]]</f>
        <v>840</v>
      </c>
      <c r="J112" s="25" t="s">
        <v>102</v>
      </c>
      <c r="K112" s="25" t="s">
        <v>123</v>
      </c>
    </row>
    <row r="113" spans="2:11" ht="14.4" x14ac:dyDescent="0.3">
      <c r="B113" s="23" t="s">
        <v>1218</v>
      </c>
      <c r="C113" s="22">
        <v>46187</v>
      </c>
      <c r="D113" s="23" t="s">
        <v>232</v>
      </c>
      <c r="E113" s="23" t="s">
        <v>1092</v>
      </c>
      <c r="F113" s="37" t="str">
        <f>IFERROR(INDEX(tblProducts[Category],MATCH(tblSales[[#This Row],[Product]],tblProducts[Product],0)),"Uncategorized")</f>
        <v>Training</v>
      </c>
      <c r="G113" s="42">
        <v>2</v>
      </c>
      <c r="H113" s="24">
        <v>900</v>
      </c>
      <c r="I113" s="43">
        <f>tblSales[[#This Row],[Quantity]]*tblSales[[#This Row],[Unit Price]]</f>
        <v>1800</v>
      </c>
      <c r="J113" s="25" t="s">
        <v>103</v>
      </c>
      <c r="K113" s="25" t="s">
        <v>123</v>
      </c>
    </row>
    <row r="114" spans="2:11" ht="14.4" x14ac:dyDescent="0.3">
      <c r="B114" s="23" t="s">
        <v>1219</v>
      </c>
      <c r="C114" s="22">
        <v>46189</v>
      </c>
      <c r="D114" s="23" t="s">
        <v>307</v>
      </c>
      <c r="E114" s="23" t="s">
        <v>1076</v>
      </c>
      <c r="F114" s="37" t="str">
        <f>IFERROR(INDEX(tblProducts[Category],MATCH(tblSales[[#This Row],[Product]],tblProducts[Product],0)),"Uncategorized")</f>
        <v>Support Plans</v>
      </c>
      <c r="G114" s="42">
        <v>3</v>
      </c>
      <c r="H114" s="24">
        <v>240</v>
      </c>
      <c r="I114" s="43">
        <f>tblSales[[#This Row],[Quantity]]*tblSales[[#This Row],[Unit Price]]</f>
        <v>720</v>
      </c>
      <c r="J114" s="25" t="s">
        <v>102</v>
      </c>
      <c r="K114" s="25" t="s">
        <v>123</v>
      </c>
    </row>
    <row r="115" spans="2:11" ht="14.4" x14ac:dyDescent="0.3">
      <c r="B115" s="23" t="s">
        <v>1220</v>
      </c>
      <c r="C115" s="22">
        <v>46191</v>
      </c>
      <c r="D115" s="23" t="s">
        <v>237</v>
      </c>
      <c r="E115" s="23" t="s">
        <v>1081</v>
      </c>
      <c r="F115" s="37" t="str">
        <f>IFERROR(INDEX(tblProducts[Category],MATCH(tblSales[[#This Row],[Product]],tblProducts[Product],0)),"Uncategorized")</f>
        <v>Consulting</v>
      </c>
      <c r="G115" s="42">
        <v>4</v>
      </c>
      <c r="H115" s="24">
        <v>650</v>
      </c>
      <c r="I115" s="43">
        <f>tblSales[[#This Row],[Quantity]]*tblSales[[#This Row],[Unit Price]]</f>
        <v>2600</v>
      </c>
      <c r="J115" s="25" t="s">
        <v>102</v>
      </c>
      <c r="K115" s="25" t="s">
        <v>123</v>
      </c>
    </row>
    <row r="116" spans="2:11" ht="14.4" x14ac:dyDescent="0.3">
      <c r="B116" s="23" t="s">
        <v>1221</v>
      </c>
      <c r="C116" s="22">
        <v>46191</v>
      </c>
      <c r="D116" s="23" t="s">
        <v>290</v>
      </c>
      <c r="E116" s="23" t="s">
        <v>1086</v>
      </c>
      <c r="F116" s="37" t="str">
        <f>IFERROR(INDEX(tblProducts[Category],MATCH(tblSales[[#This Row],[Product]],tblProducts[Product],0)),"Uncategorized")</f>
        <v>Support Plans</v>
      </c>
      <c r="G116" s="42">
        <v>3</v>
      </c>
      <c r="H116" s="24">
        <v>350</v>
      </c>
      <c r="I116" s="43">
        <f>tblSales[[#This Row],[Quantity]]*tblSales[[#This Row],[Unit Price]]</f>
        <v>1050</v>
      </c>
      <c r="J116" s="25" t="s">
        <v>102</v>
      </c>
      <c r="K116" s="25" t="s">
        <v>123</v>
      </c>
    </row>
    <row r="117" spans="2:11" ht="14.4" x14ac:dyDescent="0.3">
      <c r="B117" s="23" t="s">
        <v>1222</v>
      </c>
      <c r="C117" s="22">
        <v>46192</v>
      </c>
      <c r="D117" s="23" t="s">
        <v>602</v>
      </c>
      <c r="E117" s="23" t="s">
        <v>1087</v>
      </c>
      <c r="F117" s="37" t="str">
        <f>IFERROR(INDEX(tblProducts[Category],MATCH(tblSales[[#This Row],[Product]],tblProducts[Product],0)),"Uncategorized")</f>
        <v>Consulting</v>
      </c>
      <c r="G117" s="42">
        <v>2</v>
      </c>
      <c r="H117" s="24">
        <v>180</v>
      </c>
      <c r="I117" s="43">
        <f>tblSales[[#This Row],[Quantity]]*tblSales[[#This Row],[Unit Price]]</f>
        <v>360</v>
      </c>
      <c r="J117" s="25" t="s">
        <v>102</v>
      </c>
      <c r="K117" s="25" t="s">
        <v>123</v>
      </c>
    </row>
    <row r="118" spans="2:11" ht="14.4" x14ac:dyDescent="0.3">
      <c r="B118" s="23" t="s">
        <v>1223</v>
      </c>
      <c r="C118" s="22">
        <v>46194</v>
      </c>
      <c r="D118" s="23" t="s">
        <v>345</v>
      </c>
      <c r="E118" s="23" t="s">
        <v>1081</v>
      </c>
      <c r="F118" s="37" t="str">
        <f>IFERROR(INDEX(tblProducts[Category],MATCH(tblSales[[#This Row],[Product]],tblProducts[Product],0)),"Uncategorized")</f>
        <v>Consulting</v>
      </c>
      <c r="G118" s="42">
        <v>4</v>
      </c>
      <c r="H118" s="24">
        <v>650</v>
      </c>
      <c r="I118" s="43">
        <f>tblSales[[#This Row],[Quantity]]*tblSales[[#This Row],[Unit Price]]</f>
        <v>2600</v>
      </c>
      <c r="J118" s="25" t="s">
        <v>102</v>
      </c>
      <c r="K118" s="25" t="s">
        <v>123</v>
      </c>
    </row>
    <row r="119" spans="2:11" ht="14.4" x14ac:dyDescent="0.3">
      <c r="B119" s="23" t="s">
        <v>1224</v>
      </c>
      <c r="C119" s="22">
        <v>46194</v>
      </c>
      <c r="D119" s="23" t="s">
        <v>245</v>
      </c>
      <c r="E119" s="23" t="s">
        <v>1076</v>
      </c>
      <c r="F119" s="37" t="str">
        <f>IFERROR(INDEX(tblProducts[Category],MATCH(tblSales[[#This Row],[Product]],tblProducts[Product],0)),"Uncategorized")</f>
        <v>Support Plans</v>
      </c>
      <c r="G119" s="42">
        <v>5</v>
      </c>
      <c r="H119" s="24">
        <v>240</v>
      </c>
      <c r="I119" s="43">
        <f>tblSales[[#This Row],[Quantity]]*tblSales[[#This Row],[Unit Price]]</f>
        <v>1200</v>
      </c>
      <c r="J119" s="25" t="s">
        <v>102</v>
      </c>
      <c r="K119" s="25" t="s">
        <v>123</v>
      </c>
    </row>
    <row r="120" spans="2:11" ht="14.4" x14ac:dyDescent="0.3">
      <c r="B120" s="23" t="s">
        <v>1225</v>
      </c>
      <c r="C120" s="22">
        <v>46200</v>
      </c>
      <c r="D120" s="23" t="s">
        <v>359</v>
      </c>
      <c r="E120" s="23" t="s">
        <v>1081</v>
      </c>
      <c r="F120" s="37" t="str">
        <f>IFERROR(INDEX(tblProducts[Category],MATCH(tblSales[[#This Row],[Product]],tblProducts[Product],0)),"Uncategorized")</f>
        <v>Consulting</v>
      </c>
      <c r="G120" s="42">
        <v>1</v>
      </c>
      <c r="H120" s="24">
        <v>650</v>
      </c>
      <c r="I120" s="43">
        <f>tblSales[[#This Row],[Quantity]]*tblSales[[#This Row],[Unit Price]]</f>
        <v>650</v>
      </c>
      <c r="J120" s="25" t="s">
        <v>102</v>
      </c>
      <c r="K120" s="25" t="s">
        <v>123</v>
      </c>
    </row>
    <row r="121" spans="2:11" ht="14.4" x14ac:dyDescent="0.3">
      <c r="B121" s="23" t="s">
        <v>1226</v>
      </c>
      <c r="C121" s="22">
        <v>46201</v>
      </c>
      <c r="D121" s="23" t="s">
        <v>345</v>
      </c>
      <c r="E121" s="23" t="s">
        <v>1082</v>
      </c>
      <c r="F121" s="37" t="str">
        <f>IFERROR(INDEX(tblProducts[Category],MATCH(tblSales[[#This Row],[Product]],tblProducts[Product],0)),"Uncategorized")</f>
        <v>Digital Products</v>
      </c>
      <c r="G121" s="42">
        <v>3</v>
      </c>
      <c r="H121" s="24">
        <v>149</v>
      </c>
      <c r="I121" s="43">
        <f>tblSales[[#This Row],[Quantity]]*tblSales[[#This Row],[Unit Price]]</f>
        <v>447</v>
      </c>
      <c r="J121" s="25" t="s">
        <v>102</v>
      </c>
      <c r="K121" s="25" t="s">
        <v>123</v>
      </c>
    </row>
    <row r="122" spans="2:11" ht="14.4" x14ac:dyDescent="0.3">
      <c r="B122" s="23" t="s">
        <v>1227</v>
      </c>
      <c r="C122" s="22">
        <v>46204</v>
      </c>
      <c r="D122" s="23" t="s">
        <v>602</v>
      </c>
      <c r="E122" s="23" t="s">
        <v>1077</v>
      </c>
      <c r="F122" s="37" t="str">
        <f>IFERROR(INDEX(tblProducts[Category],MATCH(tblSales[[#This Row],[Product]],tblProducts[Product],0)),"Uncategorized")</f>
        <v>Digital Products</v>
      </c>
      <c r="G122" s="42">
        <v>4</v>
      </c>
      <c r="H122" s="24">
        <v>49</v>
      </c>
      <c r="I122" s="43">
        <f>tblSales[[#This Row],[Quantity]]*tblSales[[#This Row],[Unit Price]]</f>
        <v>196</v>
      </c>
      <c r="J122" s="25" t="s">
        <v>102</v>
      </c>
      <c r="K122" s="25" t="s">
        <v>123</v>
      </c>
    </row>
    <row r="123" spans="2:11" ht="14.4" x14ac:dyDescent="0.3">
      <c r="B123" s="23" t="s">
        <v>1228</v>
      </c>
      <c r="C123" s="22">
        <v>46207</v>
      </c>
      <c r="D123" s="23" t="s">
        <v>227</v>
      </c>
      <c r="E123" s="23" t="s">
        <v>1092</v>
      </c>
      <c r="F123" s="37" t="str">
        <f>IFERROR(INDEX(tblProducts[Category],MATCH(tblSales[[#This Row],[Product]],tblProducts[Product],0)),"Uncategorized")</f>
        <v>Training</v>
      </c>
      <c r="G123" s="42">
        <v>3</v>
      </c>
      <c r="H123" s="24">
        <v>900</v>
      </c>
      <c r="I123" s="43">
        <f>tblSales[[#This Row],[Quantity]]*tblSales[[#This Row],[Unit Price]]</f>
        <v>2700</v>
      </c>
      <c r="J123" s="25" t="s">
        <v>102</v>
      </c>
      <c r="K123" s="25" t="s">
        <v>123</v>
      </c>
    </row>
    <row r="124" spans="2:11" ht="14.4" x14ac:dyDescent="0.3">
      <c r="B124" s="23" t="s">
        <v>1229</v>
      </c>
      <c r="C124" s="22">
        <v>46208</v>
      </c>
      <c r="D124" s="23" t="s">
        <v>345</v>
      </c>
      <c r="E124" s="23" t="s">
        <v>1096</v>
      </c>
      <c r="F124" s="37" t="str">
        <f>IFERROR(INDEX(tblProducts[Category],MATCH(tblSales[[#This Row],[Product]],tblProducts[Product],0)),"Uncategorized")</f>
        <v>Training</v>
      </c>
      <c r="G124" s="42">
        <v>10</v>
      </c>
      <c r="H124" s="24">
        <v>120</v>
      </c>
      <c r="I124" s="43">
        <f>tblSales[[#This Row],[Quantity]]*tblSales[[#This Row],[Unit Price]]</f>
        <v>1200</v>
      </c>
      <c r="J124" s="25" t="s">
        <v>102</v>
      </c>
      <c r="K124" s="25" t="s">
        <v>123</v>
      </c>
    </row>
    <row r="125" spans="2:11" ht="14.4" x14ac:dyDescent="0.3">
      <c r="B125" s="23" t="s">
        <v>1230</v>
      </c>
      <c r="C125" s="22">
        <v>46210</v>
      </c>
      <c r="D125" s="23" t="s">
        <v>219</v>
      </c>
      <c r="E125" s="23" t="s">
        <v>1077</v>
      </c>
      <c r="F125" s="37" t="str">
        <f>IFERROR(INDEX(tblProducts[Category],MATCH(tblSales[[#This Row],[Product]],tblProducts[Product],0)),"Uncategorized")</f>
        <v>Digital Products</v>
      </c>
      <c r="G125" s="42">
        <v>6</v>
      </c>
      <c r="H125" s="24">
        <v>49</v>
      </c>
      <c r="I125" s="43">
        <f>tblSales[[#This Row],[Quantity]]*tblSales[[#This Row],[Unit Price]]</f>
        <v>294</v>
      </c>
      <c r="J125" s="25" t="s">
        <v>102</v>
      </c>
      <c r="K125" s="25" t="s">
        <v>123</v>
      </c>
    </row>
    <row r="126" spans="2:11" ht="14.4" x14ac:dyDescent="0.3">
      <c r="B126" s="23" t="s">
        <v>1231</v>
      </c>
      <c r="C126" s="22">
        <v>46212</v>
      </c>
      <c r="D126" s="23" t="s">
        <v>227</v>
      </c>
      <c r="E126" s="23" t="s">
        <v>1087</v>
      </c>
      <c r="F126" s="37" t="str">
        <f>IFERROR(INDEX(tblProducts[Category],MATCH(tblSales[[#This Row],[Product]],tblProducts[Product],0)),"Uncategorized")</f>
        <v>Consulting</v>
      </c>
      <c r="G126" s="42">
        <v>3</v>
      </c>
      <c r="H126" s="24">
        <v>180</v>
      </c>
      <c r="I126" s="43">
        <f>tblSales[[#This Row],[Quantity]]*tblSales[[#This Row],[Unit Price]]</f>
        <v>540</v>
      </c>
      <c r="J126" s="25" t="s">
        <v>102</v>
      </c>
      <c r="K126" s="25" t="s">
        <v>123</v>
      </c>
    </row>
    <row r="127" spans="2:11" ht="14.4" x14ac:dyDescent="0.3">
      <c r="B127" s="23" t="s">
        <v>1232</v>
      </c>
      <c r="C127" s="22">
        <v>46213</v>
      </c>
      <c r="D127" s="23" t="s">
        <v>300</v>
      </c>
      <c r="E127" s="23" t="s">
        <v>1077</v>
      </c>
      <c r="F127" s="37" t="str">
        <f>IFERROR(INDEX(tblProducts[Category],MATCH(tblSales[[#This Row],[Product]],tblProducts[Product],0)),"Uncategorized")</f>
        <v>Digital Products</v>
      </c>
      <c r="G127" s="42">
        <v>5</v>
      </c>
      <c r="H127" s="24">
        <v>49</v>
      </c>
      <c r="I127" s="43">
        <f>tblSales[[#This Row],[Quantity]]*tblSales[[#This Row],[Unit Price]]</f>
        <v>245</v>
      </c>
      <c r="J127" s="25" t="s">
        <v>102</v>
      </c>
      <c r="K127" s="25" t="s">
        <v>123</v>
      </c>
    </row>
    <row r="128" spans="2:11" ht="14.4" x14ac:dyDescent="0.3">
      <c r="B128" s="23" t="s">
        <v>1233</v>
      </c>
      <c r="C128" s="22">
        <v>46215</v>
      </c>
      <c r="D128" s="23" t="s">
        <v>411</v>
      </c>
      <c r="E128" s="23" t="s">
        <v>1086</v>
      </c>
      <c r="F128" s="37" t="str">
        <f>IFERROR(INDEX(tblProducts[Category],MATCH(tblSales[[#This Row],[Product]],tblProducts[Product],0)),"Uncategorized")</f>
        <v>Support Plans</v>
      </c>
      <c r="G128" s="42">
        <v>1</v>
      </c>
      <c r="H128" s="24">
        <v>350</v>
      </c>
      <c r="I128" s="43">
        <f>tblSales[[#This Row],[Quantity]]*tblSales[[#This Row],[Unit Price]]</f>
        <v>350</v>
      </c>
      <c r="J128" s="25" t="s">
        <v>102</v>
      </c>
      <c r="K128" s="25" t="s">
        <v>123</v>
      </c>
    </row>
    <row r="129" spans="2:11" ht="14.4" x14ac:dyDescent="0.3">
      <c r="B129" s="23" t="s">
        <v>1234</v>
      </c>
      <c r="C129" s="22">
        <v>46221</v>
      </c>
      <c r="D129" s="23" t="s">
        <v>300</v>
      </c>
      <c r="E129" s="23" t="s">
        <v>1087</v>
      </c>
      <c r="F129" s="37" t="str">
        <f>IFERROR(INDEX(tblProducts[Category],MATCH(tblSales[[#This Row],[Product]],tblProducts[Product],0)),"Uncategorized")</f>
        <v>Consulting</v>
      </c>
      <c r="G129" s="42">
        <v>3</v>
      </c>
      <c r="H129" s="24">
        <v>180</v>
      </c>
      <c r="I129" s="43">
        <f>tblSales[[#This Row],[Quantity]]*tblSales[[#This Row],[Unit Price]]</f>
        <v>540</v>
      </c>
      <c r="J129" s="25" t="s">
        <v>102</v>
      </c>
      <c r="K129" s="25" t="s">
        <v>123</v>
      </c>
    </row>
    <row r="130" spans="2:11" ht="14.4" x14ac:dyDescent="0.3">
      <c r="B130" s="23" t="s">
        <v>1235</v>
      </c>
      <c r="C130" s="22">
        <v>46221</v>
      </c>
      <c r="D130" s="23" t="s">
        <v>237</v>
      </c>
      <c r="E130" s="23" t="s">
        <v>1077</v>
      </c>
      <c r="F130" s="37" t="str">
        <f>IFERROR(INDEX(tblProducts[Category],MATCH(tblSales[[#This Row],[Product]],tblProducts[Product],0)),"Uncategorized")</f>
        <v>Digital Products</v>
      </c>
      <c r="G130" s="42">
        <v>4</v>
      </c>
      <c r="H130" s="24">
        <v>49</v>
      </c>
      <c r="I130" s="43">
        <f>tblSales[[#This Row],[Quantity]]*tblSales[[#This Row],[Unit Price]]</f>
        <v>196</v>
      </c>
      <c r="J130" s="25" t="s">
        <v>102</v>
      </c>
      <c r="K130" s="25" t="s">
        <v>123</v>
      </c>
    </row>
    <row r="131" spans="2:11" ht="14.4" x14ac:dyDescent="0.3">
      <c r="B131" s="23" t="s">
        <v>1236</v>
      </c>
      <c r="C131" s="22">
        <v>46222</v>
      </c>
      <c r="D131" s="23" t="s">
        <v>338</v>
      </c>
      <c r="E131" s="23" t="s">
        <v>1076</v>
      </c>
      <c r="F131" s="37" t="str">
        <f>IFERROR(INDEX(tblProducts[Category],MATCH(tblSales[[#This Row],[Product]],tblProducts[Product],0)),"Uncategorized")</f>
        <v>Support Plans</v>
      </c>
      <c r="G131" s="42">
        <v>6</v>
      </c>
      <c r="H131" s="24">
        <v>240</v>
      </c>
      <c r="I131" s="43">
        <f>tblSales[[#This Row],[Quantity]]*tblSales[[#This Row],[Unit Price]]</f>
        <v>1440</v>
      </c>
      <c r="J131" s="25" t="s">
        <v>103</v>
      </c>
      <c r="K131" s="25" t="s">
        <v>123</v>
      </c>
    </row>
    <row r="132" spans="2:11" ht="14.4" x14ac:dyDescent="0.3">
      <c r="B132" s="23" t="s">
        <v>1237</v>
      </c>
      <c r="C132" s="22">
        <v>46226</v>
      </c>
      <c r="D132" s="23" t="s">
        <v>245</v>
      </c>
      <c r="E132" s="23" t="s">
        <v>1076</v>
      </c>
      <c r="F132" s="37" t="str">
        <f>IFERROR(INDEX(tblProducts[Category],MATCH(tblSales[[#This Row],[Product]],tblProducts[Product],0)),"Uncategorized")</f>
        <v>Support Plans</v>
      </c>
      <c r="G132" s="42">
        <v>6</v>
      </c>
      <c r="H132" s="24">
        <v>240</v>
      </c>
      <c r="I132" s="43">
        <f>tblSales[[#This Row],[Quantity]]*tblSales[[#This Row],[Unit Price]]</f>
        <v>1440</v>
      </c>
      <c r="J132" s="25" t="s">
        <v>102</v>
      </c>
      <c r="K132" s="25" t="s">
        <v>123</v>
      </c>
    </row>
    <row r="133" spans="2:11" ht="14.4" x14ac:dyDescent="0.3">
      <c r="B133" s="23" t="s">
        <v>1238</v>
      </c>
      <c r="C133" s="22">
        <v>46226</v>
      </c>
      <c r="D133" s="23" t="s">
        <v>241</v>
      </c>
      <c r="E133" s="23" t="s">
        <v>1076</v>
      </c>
      <c r="F133" s="37" t="str">
        <f>IFERROR(INDEX(tblProducts[Category],MATCH(tblSales[[#This Row],[Product]],tblProducts[Product],0)),"Uncategorized")</f>
        <v>Support Plans</v>
      </c>
      <c r="G133" s="42">
        <v>3</v>
      </c>
      <c r="H133" s="24">
        <v>240</v>
      </c>
      <c r="I133" s="43">
        <f>tblSales[[#This Row],[Quantity]]*tblSales[[#This Row],[Unit Price]]</f>
        <v>720</v>
      </c>
      <c r="J133" s="25" t="s">
        <v>102</v>
      </c>
      <c r="K133" s="25" t="s">
        <v>123</v>
      </c>
    </row>
    <row r="134" spans="2:11" ht="14.4" x14ac:dyDescent="0.3">
      <c r="B134" s="23" t="s">
        <v>1239</v>
      </c>
      <c r="C134" s="22">
        <v>46227</v>
      </c>
      <c r="D134" s="23" t="s">
        <v>290</v>
      </c>
      <c r="E134" s="23" t="s">
        <v>1082</v>
      </c>
      <c r="F134" s="37" t="str">
        <f>IFERROR(INDEX(tblProducts[Category],MATCH(tblSales[[#This Row],[Product]],tblProducts[Product],0)),"Uncategorized")</f>
        <v>Digital Products</v>
      </c>
      <c r="G134" s="42">
        <v>1</v>
      </c>
      <c r="H134" s="24">
        <v>149</v>
      </c>
      <c r="I134" s="43">
        <f>tblSales[[#This Row],[Quantity]]*tblSales[[#This Row],[Unit Price]]</f>
        <v>149</v>
      </c>
      <c r="J134" s="25" t="s">
        <v>102</v>
      </c>
      <c r="K134" s="25" t="s">
        <v>123</v>
      </c>
    </row>
    <row r="135" spans="2:11" ht="14.4" x14ac:dyDescent="0.3">
      <c r="B135" s="23" t="s">
        <v>1240</v>
      </c>
      <c r="C135" s="22">
        <v>46227</v>
      </c>
      <c r="D135" s="23" t="s">
        <v>297</v>
      </c>
      <c r="E135" s="23" t="s">
        <v>1087</v>
      </c>
      <c r="F135" s="37" t="str">
        <f>IFERROR(INDEX(tblProducts[Category],MATCH(tblSales[[#This Row],[Product]],tblProducts[Product],0)),"Uncategorized")</f>
        <v>Consulting</v>
      </c>
      <c r="G135" s="42">
        <v>2</v>
      </c>
      <c r="H135" s="24">
        <v>180</v>
      </c>
      <c r="I135" s="43">
        <f>tblSales[[#This Row],[Quantity]]*tblSales[[#This Row],[Unit Price]]</f>
        <v>360</v>
      </c>
      <c r="J135" s="25" t="s">
        <v>102</v>
      </c>
      <c r="K135" s="25" t="s">
        <v>123</v>
      </c>
    </row>
    <row r="136" spans="2:11" ht="14.4" x14ac:dyDescent="0.3">
      <c r="B136" s="23" t="s">
        <v>1241</v>
      </c>
      <c r="C136" s="22">
        <v>46231</v>
      </c>
      <c r="D136" s="23" t="s">
        <v>297</v>
      </c>
      <c r="E136" s="23" t="s">
        <v>1077</v>
      </c>
      <c r="F136" s="37" t="str">
        <f>IFERROR(INDEX(tblProducts[Category],MATCH(tblSales[[#This Row],[Product]],tblProducts[Product],0)),"Uncategorized")</f>
        <v>Digital Products</v>
      </c>
      <c r="G136" s="42">
        <v>1</v>
      </c>
      <c r="H136" s="24">
        <v>49</v>
      </c>
      <c r="I136" s="43">
        <f>tblSales[[#This Row],[Quantity]]*tblSales[[#This Row],[Unit Price]]</f>
        <v>49</v>
      </c>
      <c r="J136" s="25" t="s">
        <v>102</v>
      </c>
      <c r="K136" s="25" t="s">
        <v>123</v>
      </c>
    </row>
    <row r="137" spans="2:11" ht="14.4" x14ac:dyDescent="0.3">
      <c r="B137" s="23" t="s">
        <v>1242</v>
      </c>
      <c r="C137" s="22">
        <v>46231</v>
      </c>
      <c r="D137" s="23" t="s">
        <v>294</v>
      </c>
      <c r="E137" s="23" t="s">
        <v>1096</v>
      </c>
      <c r="F137" s="37" t="str">
        <f>IFERROR(INDEX(tblProducts[Category],MATCH(tblSales[[#This Row],[Product]],tblProducts[Product],0)),"Uncategorized")</f>
        <v>Training</v>
      </c>
      <c r="G137" s="42">
        <v>12</v>
      </c>
      <c r="H137" s="24">
        <v>120</v>
      </c>
      <c r="I137" s="43">
        <f>tblSales[[#This Row],[Quantity]]*tblSales[[#This Row],[Unit Price]]</f>
        <v>1440</v>
      </c>
      <c r="J137" s="25" t="s">
        <v>102</v>
      </c>
      <c r="K137" s="25" t="s">
        <v>123</v>
      </c>
    </row>
    <row r="138" spans="2:11" ht="14.4" x14ac:dyDescent="0.3">
      <c r="B138" s="23" t="s">
        <v>1243</v>
      </c>
      <c r="C138" s="22">
        <v>46232</v>
      </c>
      <c r="D138" s="23" t="s">
        <v>245</v>
      </c>
      <c r="E138" s="23" t="s">
        <v>1076</v>
      </c>
      <c r="F138" s="37" t="str">
        <f>IFERROR(INDEX(tblProducts[Category],MATCH(tblSales[[#This Row],[Product]],tblProducts[Product],0)),"Uncategorized")</f>
        <v>Support Plans</v>
      </c>
      <c r="G138" s="42">
        <v>1</v>
      </c>
      <c r="H138" s="24">
        <v>240</v>
      </c>
      <c r="I138" s="43">
        <f>tblSales[[#This Row],[Quantity]]*tblSales[[#This Row],[Unit Price]]</f>
        <v>240</v>
      </c>
      <c r="J138" s="25" t="s">
        <v>102</v>
      </c>
      <c r="K138" s="25" t="s">
        <v>123</v>
      </c>
    </row>
    <row r="139" spans="2:11" ht="14.4" x14ac:dyDescent="0.3">
      <c r="B139" s="23" t="s">
        <v>1244</v>
      </c>
      <c r="C139" s="22">
        <v>46237</v>
      </c>
      <c r="D139" s="23" t="s">
        <v>223</v>
      </c>
      <c r="E139" s="23" t="s">
        <v>1096</v>
      </c>
      <c r="F139" s="37" t="str">
        <f>IFERROR(INDEX(tblProducts[Category],MATCH(tblSales[[#This Row],[Product]],tblProducts[Product],0)),"Uncategorized")</f>
        <v>Training</v>
      </c>
      <c r="G139" s="42">
        <v>12</v>
      </c>
      <c r="H139" s="24">
        <v>120</v>
      </c>
      <c r="I139" s="43">
        <f>tblSales[[#This Row],[Quantity]]*tblSales[[#This Row],[Unit Price]]</f>
        <v>1440</v>
      </c>
      <c r="J139" s="25" t="s">
        <v>102</v>
      </c>
      <c r="K139" s="25" t="s">
        <v>123</v>
      </c>
    </row>
    <row r="140" spans="2:11" ht="14.4" x14ac:dyDescent="0.3">
      <c r="B140" s="23" t="s">
        <v>1245</v>
      </c>
      <c r="C140" s="22">
        <v>46238</v>
      </c>
      <c r="D140" s="23" t="s">
        <v>219</v>
      </c>
      <c r="E140" s="23" t="s">
        <v>1087</v>
      </c>
      <c r="F140" s="37" t="str">
        <f>IFERROR(INDEX(tblProducts[Category],MATCH(tblSales[[#This Row],[Product]],tblProducts[Product],0)),"Uncategorized")</f>
        <v>Consulting</v>
      </c>
      <c r="G140" s="42">
        <v>4</v>
      </c>
      <c r="H140" s="24">
        <v>180</v>
      </c>
      <c r="I140" s="43">
        <f>tblSales[[#This Row],[Quantity]]*tblSales[[#This Row],[Unit Price]]</f>
        <v>720</v>
      </c>
      <c r="J140" s="25" t="s">
        <v>102</v>
      </c>
      <c r="K140" s="25" t="s">
        <v>123</v>
      </c>
    </row>
    <row r="141" spans="2:11" ht="14.4" x14ac:dyDescent="0.3">
      <c r="B141" s="23" t="s">
        <v>1246</v>
      </c>
      <c r="C141" s="22">
        <v>46238</v>
      </c>
      <c r="D141" s="23" t="s">
        <v>219</v>
      </c>
      <c r="E141" s="23" t="s">
        <v>1092</v>
      </c>
      <c r="F141" s="37" t="str">
        <f>IFERROR(INDEX(tblProducts[Category],MATCH(tblSales[[#This Row],[Product]],tblProducts[Product],0)),"Uncategorized")</f>
        <v>Training</v>
      </c>
      <c r="G141" s="42">
        <v>1</v>
      </c>
      <c r="H141" s="24">
        <v>900</v>
      </c>
      <c r="I141" s="43">
        <f>tblSales[[#This Row],[Quantity]]*tblSales[[#This Row],[Unit Price]]</f>
        <v>900</v>
      </c>
      <c r="J141" s="25" t="s">
        <v>102</v>
      </c>
      <c r="K141" s="25" t="s">
        <v>123</v>
      </c>
    </row>
    <row r="142" spans="2:11" ht="14.4" x14ac:dyDescent="0.3">
      <c r="B142" s="23" t="s">
        <v>1247</v>
      </c>
      <c r="C142" s="22">
        <v>46239</v>
      </c>
      <c r="D142" s="23" t="s">
        <v>237</v>
      </c>
      <c r="E142" s="23" t="s">
        <v>1096</v>
      </c>
      <c r="F142" s="37" t="str">
        <f>IFERROR(INDEX(tblProducts[Category],MATCH(tblSales[[#This Row],[Product]],tblProducts[Product],0)),"Uncategorized")</f>
        <v>Training</v>
      </c>
      <c r="G142" s="42">
        <v>9</v>
      </c>
      <c r="H142" s="24">
        <v>120</v>
      </c>
      <c r="I142" s="43">
        <f>tblSales[[#This Row],[Quantity]]*tblSales[[#This Row],[Unit Price]]</f>
        <v>1080</v>
      </c>
      <c r="J142" s="25" t="s">
        <v>102</v>
      </c>
      <c r="K142" s="25" t="s">
        <v>123</v>
      </c>
    </row>
    <row r="143" spans="2:11" ht="14.4" x14ac:dyDescent="0.3">
      <c r="B143" s="23" t="s">
        <v>1248</v>
      </c>
      <c r="C143" s="22">
        <v>46239</v>
      </c>
      <c r="D143" s="23" t="s">
        <v>602</v>
      </c>
      <c r="E143" s="23" t="s">
        <v>1087</v>
      </c>
      <c r="F143" s="37" t="str">
        <f>IFERROR(INDEX(tblProducts[Category],MATCH(tblSales[[#This Row],[Product]],tblProducts[Product],0)),"Uncategorized")</f>
        <v>Consulting</v>
      </c>
      <c r="G143" s="42">
        <v>1</v>
      </c>
      <c r="H143" s="24">
        <v>180</v>
      </c>
      <c r="I143" s="43">
        <f>tblSales[[#This Row],[Quantity]]*tblSales[[#This Row],[Unit Price]]</f>
        <v>180</v>
      </c>
      <c r="J143" s="25" t="s">
        <v>102</v>
      </c>
      <c r="K143" s="25" t="s">
        <v>123</v>
      </c>
    </row>
    <row r="144" spans="2:11" ht="14.4" x14ac:dyDescent="0.3">
      <c r="B144" s="23" t="s">
        <v>1249</v>
      </c>
      <c r="C144" s="22">
        <v>46241</v>
      </c>
      <c r="D144" s="23" t="s">
        <v>287</v>
      </c>
      <c r="E144" s="23" t="s">
        <v>1086</v>
      </c>
      <c r="F144" s="37" t="str">
        <f>IFERROR(INDEX(tblProducts[Category],MATCH(tblSales[[#This Row],[Product]],tblProducts[Product],0)),"Uncategorized")</f>
        <v>Support Plans</v>
      </c>
      <c r="G144" s="42">
        <v>2</v>
      </c>
      <c r="H144" s="24">
        <v>350</v>
      </c>
      <c r="I144" s="43">
        <f>tblSales[[#This Row],[Quantity]]*tblSales[[#This Row],[Unit Price]]</f>
        <v>700</v>
      </c>
      <c r="J144" s="25" t="s">
        <v>102</v>
      </c>
      <c r="K144" s="25" t="s">
        <v>123</v>
      </c>
    </row>
    <row r="145" spans="2:11" ht="14.4" x14ac:dyDescent="0.3">
      <c r="B145" s="23" t="s">
        <v>1250</v>
      </c>
      <c r="C145" s="22">
        <v>46242</v>
      </c>
      <c r="D145" s="23" t="s">
        <v>223</v>
      </c>
      <c r="E145" s="23" t="s">
        <v>1086</v>
      </c>
      <c r="F145" s="37" t="str">
        <f>IFERROR(INDEX(tblProducts[Category],MATCH(tblSales[[#This Row],[Product]],tblProducts[Product],0)),"Uncategorized")</f>
        <v>Support Plans</v>
      </c>
      <c r="G145" s="42">
        <v>1</v>
      </c>
      <c r="H145" s="24">
        <v>350</v>
      </c>
      <c r="I145" s="43">
        <f>tblSales[[#This Row],[Quantity]]*tblSales[[#This Row],[Unit Price]]</f>
        <v>350</v>
      </c>
      <c r="J145" s="25" t="s">
        <v>102</v>
      </c>
      <c r="K145" s="25" t="s">
        <v>123</v>
      </c>
    </row>
    <row r="146" spans="2:11" ht="14.4" x14ac:dyDescent="0.3">
      <c r="B146" s="23" t="s">
        <v>1251</v>
      </c>
      <c r="C146" s="22">
        <v>46244</v>
      </c>
      <c r="D146" s="23" t="s">
        <v>297</v>
      </c>
      <c r="E146" s="23" t="s">
        <v>1087</v>
      </c>
      <c r="F146" s="37" t="str">
        <f>IFERROR(INDEX(tblProducts[Category],MATCH(tblSales[[#This Row],[Product]],tblProducts[Product],0)),"Uncategorized")</f>
        <v>Consulting</v>
      </c>
      <c r="G146" s="42">
        <v>3</v>
      </c>
      <c r="H146" s="24">
        <v>180</v>
      </c>
      <c r="I146" s="43">
        <f>tblSales[[#This Row],[Quantity]]*tblSales[[#This Row],[Unit Price]]</f>
        <v>540</v>
      </c>
      <c r="J146" s="25" t="s">
        <v>102</v>
      </c>
      <c r="K146" s="25" t="s">
        <v>123</v>
      </c>
    </row>
    <row r="147" spans="2:11" ht="14.4" x14ac:dyDescent="0.3">
      <c r="B147" s="23" t="s">
        <v>1252</v>
      </c>
      <c r="C147" s="22">
        <v>46245</v>
      </c>
      <c r="D147" s="23" t="s">
        <v>307</v>
      </c>
      <c r="E147" s="23" t="s">
        <v>1076</v>
      </c>
      <c r="F147" s="37" t="str">
        <f>IFERROR(INDEX(tblProducts[Category],MATCH(tblSales[[#This Row],[Product]],tblProducts[Product],0)),"Uncategorized")</f>
        <v>Support Plans</v>
      </c>
      <c r="G147" s="42">
        <v>6</v>
      </c>
      <c r="H147" s="24">
        <v>240</v>
      </c>
      <c r="I147" s="43">
        <f>tblSales[[#This Row],[Quantity]]*tblSales[[#This Row],[Unit Price]]</f>
        <v>1440</v>
      </c>
      <c r="J147" s="25" t="s">
        <v>102</v>
      </c>
      <c r="K147" s="25" t="s">
        <v>123</v>
      </c>
    </row>
    <row r="148" spans="2:11" ht="14.4" x14ac:dyDescent="0.3">
      <c r="B148" s="23" t="s">
        <v>1253</v>
      </c>
      <c r="C148" s="22">
        <v>46246</v>
      </c>
      <c r="D148" s="23" t="s">
        <v>411</v>
      </c>
      <c r="E148" s="23" t="s">
        <v>1076</v>
      </c>
      <c r="F148" s="37" t="str">
        <f>IFERROR(INDEX(tblProducts[Category],MATCH(tblSales[[#This Row],[Product]],tblProducts[Product],0)),"Uncategorized")</f>
        <v>Support Plans</v>
      </c>
      <c r="G148" s="42">
        <v>4</v>
      </c>
      <c r="H148" s="24">
        <v>240</v>
      </c>
      <c r="I148" s="43">
        <f>tblSales[[#This Row],[Quantity]]*tblSales[[#This Row],[Unit Price]]</f>
        <v>960</v>
      </c>
      <c r="J148" s="25" t="s">
        <v>102</v>
      </c>
      <c r="K148" s="25" t="s">
        <v>123</v>
      </c>
    </row>
    <row r="149" spans="2:11" ht="14.4" x14ac:dyDescent="0.3">
      <c r="B149" s="23" t="s">
        <v>1254</v>
      </c>
      <c r="C149" s="22">
        <v>46247</v>
      </c>
      <c r="D149" s="23" t="s">
        <v>307</v>
      </c>
      <c r="E149" s="23" t="s">
        <v>1082</v>
      </c>
      <c r="F149" s="37" t="str">
        <f>IFERROR(INDEX(tblProducts[Category],MATCH(tblSales[[#This Row],[Product]],tblProducts[Product],0)),"Uncategorized")</f>
        <v>Digital Products</v>
      </c>
      <c r="G149" s="42">
        <v>4</v>
      </c>
      <c r="H149" s="24">
        <v>149</v>
      </c>
      <c r="I149" s="43">
        <f>tblSales[[#This Row],[Quantity]]*tblSales[[#This Row],[Unit Price]]</f>
        <v>596</v>
      </c>
      <c r="J149" s="25" t="s">
        <v>102</v>
      </c>
      <c r="K149" s="25" t="s">
        <v>123</v>
      </c>
    </row>
    <row r="150" spans="2:11" ht="14.4" x14ac:dyDescent="0.3">
      <c r="B150" s="23" t="s">
        <v>1255</v>
      </c>
      <c r="C150" s="22">
        <v>46250</v>
      </c>
      <c r="D150" s="23" t="s">
        <v>232</v>
      </c>
      <c r="E150" s="23" t="s">
        <v>1076</v>
      </c>
      <c r="F150" s="37" t="str">
        <f>IFERROR(INDEX(tblProducts[Category],MATCH(tblSales[[#This Row],[Product]],tblProducts[Product],0)),"Uncategorized")</f>
        <v>Support Plans</v>
      </c>
      <c r="G150" s="42">
        <v>3</v>
      </c>
      <c r="H150" s="24">
        <v>240</v>
      </c>
      <c r="I150" s="43">
        <f>tblSales[[#This Row],[Quantity]]*tblSales[[#This Row],[Unit Price]]</f>
        <v>720</v>
      </c>
      <c r="J150" s="25" t="s">
        <v>1116</v>
      </c>
      <c r="K150" s="25" t="s">
        <v>126</v>
      </c>
    </row>
    <row r="151" spans="2:11" ht="14.4" x14ac:dyDescent="0.3">
      <c r="B151" s="23" t="s">
        <v>1256</v>
      </c>
      <c r="C151" s="22">
        <v>46252</v>
      </c>
      <c r="D151" s="23" t="s">
        <v>237</v>
      </c>
      <c r="E151" s="23" t="s">
        <v>1081</v>
      </c>
      <c r="F151" s="37" t="str">
        <f>IFERROR(INDEX(tblProducts[Category],MATCH(tblSales[[#This Row],[Product]],tblProducts[Product],0)),"Uncategorized")</f>
        <v>Consulting</v>
      </c>
      <c r="G151" s="42">
        <v>4</v>
      </c>
      <c r="H151" s="24">
        <v>650</v>
      </c>
      <c r="I151" s="43">
        <f>tblSales[[#This Row],[Quantity]]*tblSales[[#This Row],[Unit Price]]</f>
        <v>2600</v>
      </c>
      <c r="J151" s="25" t="s">
        <v>103</v>
      </c>
      <c r="K151" s="25" t="s">
        <v>123</v>
      </c>
    </row>
    <row r="152" spans="2:11" ht="14.4" x14ac:dyDescent="0.3">
      <c r="B152" s="23" t="s">
        <v>1257</v>
      </c>
      <c r="C152" s="22">
        <v>46254</v>
      </c>
      <c r="D152" s="23" t="s">
        <v>338</v>
      </c>
      <c r="E152" s="23" t="s">
        <v>1077</v>
      </c>
      <c r="F152" s="37" t="str">
        <f>IFERROR(INDEX(tblProducts[Category],MATCH(tblSales[[#This Row],[Product]],tblProducts[Product],0)),"Uncategorized")</f>
        <v>Digital Products</v>
      </c>
      <c r="G152" s="42">
        <v>6</v>
      </c>
      <c r="H152" s="24">
        <v>49</v>
      </c>
      <c r="I152" s="43">
        <f>tblSales[[#This Row],[Quantity]]*tblSales[[#This Row],[Unit Price]]</f>
        <v>294</v>
      </c>
      <c r="J152" s="25" t="s">
        <v>102</v>
      </c>
      <c r="K152" s="25" t="s">
        <v>123</v>
      </c>
    </row>
    <row r="153" spans="2:11" ht="14.4" x14ac:dyDescent="0.3">
      <c r="B153" s="23" t="s">
        <v>1258</v>
      </c>
      <c r="C153" s="22">
        <v>46254</v>
      </c>
      <c r="D153" s="23" t="s">
        <v>602</v>
      </c>
      <c r="E153" s="23" t="s">
        <v>1096</v>
      </c>
      <c r="F153" s="37" t="str">
        <f>IFERROR(INDEX(tblProducts[Category],MATCH(tblSales[[#This Row],[Product]],tblProducts[Product],0)),"Uncategorized")</f>
        <v>Training</v>
      </c>
      <c r="G153" s="42">
        <v>4</v>
      </c>
      <c r="H153" s="24">
        <v>120</v>
      </c>
      <c r="I153" s="43">
        <f>tblSales[[#This Row],[Quantity]]*tblSales[[#This Row],[Unit Price]]</f>
        <v>480</v>
      </c>
      <c r="J153" s="25" t="s">
        <v>102</v>
      </c>
      <c r="K153" s="25" t="s">
        <v>123</v>
      </c>
    </row>
    <row r="154" spans="2:11" ht="14.4" x14ac:dyDescent="0.3">
      <c r="B154" s="23" t="s">
        <v>1259</v>
      </c>
      <c r="C154" s="22">
        <v>46258</v>
      </c>
      <c r="D154" s="23" t="s">
        <v>277</v>
      </c>
      <c r="E154" s="23" t="s">
        <v>1087</v>
      </c>
      <c r="F154" s="37" t="str">
        <f>IFERROR(INDEX(tblProducts[Category],MATCH(tblSales[[#This Row],[Product]],tblProducts[Product],0)),"Uncategorized")</f>
        <v>Consulting</v>
      </c>
      <c r="G154" s="42">
        <v>1</v>
      </c>
      <c r="H154" s="24">
        <v>180</v>
      </c>
      <c r="I154" s="43">
        <f>tblSales[[#This Row],[Quantity]]*tblSales[[#This Row],[Unit Price]]</f>
        <v>180</v>
      </c>
      <c r="J154" s="25" t="s">
        <v>102</v>
      </c>
      <c r="K154" s="25" t="s">
        <v>123</v>
      </c>
    </row>
    <row r="155" spans="2:11" ht="14.4" x14ac:dyDescent="0.3">
      <c r="B155" s="23" t="s">
        <v>1260</v>
      </c>
      <c r="C155" s="22">
        <v>46261</v>
      </c>
      <c r="D155" s="23" t="s">
        <v>307</v>
      </c>
      <c r="E155" s="23" t="s">
        <v>1087</v>
      </c>
      <c r="F155" s="37" t="str">
        <f>IFERROR(INDEX(tblProducts[Category],MATCH(tblSales[[#This Row],[Product]],tblProducts[Product],0)),"Uncategorized")</f>
        <v>Consulting</v>
      </c>
      <c r="G155" s="42">
        <v>4</v>
      </c>
      <c r="H155" s="24">
        <v>180</v>
      </c>
      <c r="I155" s="43">
        <f>tblSales[[#This Row],[Quantity]]*tblSales[[#This Row],[Unit Price]]</f>
        <v>720</v>
      </c>
      <c r="J155" s="25" t="s">
        <v>1116</v>
      </c>
      <c r="K155" s="25" t="s">
        <v>126</v>
      </c>
    </row>
    <row r="156" spans="2:11" ht="14.4" x14ac:dyDescent="0.3">
      <c r="B156" s="23" t="s">
        <v>1261</v>
      </c>
      <c r="C156" s="22">
        <v>46262</v>
      </c>
      <c r="D156" s="23" t="s">
        <v>223</v>
      </c>
      <c r="E156" s="23" t="s">
        <v>1077</v>
      </c>
      <c r="F156" s="37" t="str">
        <f>IFERROR(INDEX(tblProducts[Category],MATCH(tblSales[[#This Row],[Product]],tblProducts[Product],0)),"Uncategorized")</f>
        <v>Digital Products</v>
      </c>
      <c r="G156" s="42">
        <v>6</v>
      </c>
      <c r="H156" s="24">
        <v>49</v>
      </c>
      <c r="I156" s="43">
        <f>tblSales[[#This Row],[Quantity]]*tblSales[[#This Row],[Unit Price]]</f>
        <v>294</v>
      </c>
      <c r="J156" s="25" t="s">
        <v>102</v>
      </c>
      <c r="K156" s="25" t="s">
        <v>123</v>
      </c>
    </row>
    <row r="157" spans="2:11" ht="14.4" x14ac:dyDescent="0.3">
      <c r="B157" s="23" t="s">
        <v>1262</v>
      </c>
      <c r="C157" s="22">
        <v>46266</v>
      </c>
      <c r="D157" s="23" t="s">
        <v>277</v>
      </c>
      <c r="E157" s="23" t="s">
        <v>1087</v>
      </c>
      <c r="F157" s="37" t="str">
        <f>IFERROR(INDEX(tblProducts[Category],MATCH(tblSales[[#This Row],[Product]],tblProducts[Product],0)),"Uncategorized")</f>
        <v>Consulting</v>
      </c>
      <c r="G157" s="42">
        <v>4</v>
      </c>
      <c r="H157" s="24">
        <v>180</v>
      </c>
      <c r="I157" s="43">
        <f>tblSales[[#This Row],[Quantity]]*tblSales[[#This Row],[Unit Price]]</f>
        <v>720</v>
      </c>
      <c r="J157" s="25" t="s">
        <v>102</v>
      </c>
      <c r="K157" s="25" t="s">
        <v>123</v>
      </c>
    </row>
    <row r="158" spans="2:11" ht="14.4" x14ac:dyDescent="0.3">
      <c r="B158" s="23" t="s">
        <v>1263</v>
      </c>
      <c r="C158" s="22">
        <v>46269</v>
      </c>
      <c r="D158" s="23" t="s">
        <v>411</v>
      </c>
      <c r="E158" s="23" t="s">
        <v>1076</v>
      </c>
      <c r="F158" s="37" t="str">
        <f>IFERROR(INDEX(tblProducts[Category],MATCH(tblSales[[#This Row],[Product]],tblProducts[Product],0)),"Uncategorized")</f>
        <v>Support Plans</v>
      </c>
      <c r="G158" s="42">
        <v>6</v>
      </c>
      <c r="H158" s="24">
        <v>240</v>
      </c>
      <c r="I158" s="43">
        <f>tblSales[[#This Row],[Quantity]]*tblSales[[#This Row],[Unit Price]]</f>
        <v>1440</v>
      </c>
      <c r="J158" s="25" t="s">
        <v>102</v>
      </c>
      <c r="K158" s="25" t="s">
        <v>123</v>
      </c>
    </row>
    <row r="159" spans="2:11" ht="14.4" x14ac:dyDescent="0.3">
      <c r="B159" s="23" t="s">
        <v>1264</v>
      </c>
      <c r="C159" s="22">
        <v>46270</v>
      </c>
      <c r="D159" s="23" t="s">
        <v>290</v>
      </c>
      <c r="E159" s="23" t="s">
        <v>1092</v>
      </c>
      <c r="F159" s="37" t="str">
        <f>IFERROR(INDEX(tblProducts[Category],MATCH(tblSales[[#This Row],[Product]],tblProducts[Product],0)),"Uncategorized")</f>
        <v>Training</v>
      </c>
      <c r="G159" s="42">
        <v>2</v>
      </c>
      <c r="H159" s="24">
        <v>900</v>
      </c>
      <c r="I159" s="43">
        <f>tblSales[[#This Row],[Quantity]]*tblSales[[#This Row],[Unit Price]]</f>
        <v>1800</v>
      </c>
      <c r="J159" s="25" t="s">
        <v>103</v>
      </c>
      <c r="K159" s="25" t="s">
        <v>123</v>
      </c>
    </row>
    <row r="160" spans="2:11" ht="14.4" x14ac:dyDescent="0.3">
      <c r="B160" s="23" t="s">
        <v>1265</v>
      </c>
      <c r="C160" s="22">
        <v>46273</v>
      </c>
      <c r="D160" s="23" t="s">
        <v>237</v>
      </c>
      <c r="E160" s="23" t="s">
        <v>1096</v>
      </c>
      <c r="F160" s="37" t="str">
        <f>IFERROR(INDEX(tblProducts[Category],MATCH(tblSales[[#This Row],[Product]],tblProducts[Product],0)),"Uncategorized")</f>
        <v>Training</v>
      </c>
      <c r="G160" s="42">
        <v>2</v>
      </c>
      <c r="H160" s="24">
        <v>120</v>
      </c>
      <c r="I160" s="43">
        <f>tblSales[[#This Row],[Quantity]]*tblSales[[#This Row],[Unit Price]]</f>
        <v>240</v>
      </c>
      <c r="J160" s="25" t="s">
        <v>102</v>
      </c>
      <c r="K160" s="25" t="s">
        <v>123</v>
      </c>
    </row>
    <row r="161" spans="2:11" ht="14.4" x14ac:dyDescent="0.3">
      <c r="B161" s="23" t="s">
        <v>1266</v>
      </c>
      <c r="C161" s="22">
        <v>46274</v>
      </c>
      <c r="D161" s="23" t="s">
        <v>227</v>
      </c>
      <c r="E161" s="23" t="s">
        <v>1086</v>
      </c>
      <c r="F161" s="37" t="str">
        <f>IFERROR(INDEX(tblProducts[Category],MATCH(tblSales[[#This Row],[Product]],tblProducts[Product],0)),"Uncategorized")</f>
        <v>Support Plans</v>
      </c>
      <c r="G161" s="42">
        <v>1</v>
      </c>
      <c r="H161" s="24">
        <v>350</v>
      </c>
      <c r="I161" s="43">
        <f>tblSales[[#This Row],[Quantity]]*tblSales[[#This Row],[Unit Price]]</f>
        <v>350</v>
      </c>
      <c r="J161" s="25" t="s">
        <v>103</v>
      </c>
      <c r="K161" s="25" t="s">
        <v>123</v>
      </c>
    </row>
    <row r="162" spans="2:11" ht="14.4" x14ac:dyDescent="0.3">
      <c r="B162" s="23" t="s">
        <v>1267</v>
      </c>
      <c r="C162" s="22">
        <v>46274</v>
      </c>
      <c r="D162" s="23" t="s">
        <v>223</v>
      </c>
      <c r="E162" s="23" t="s">
        <v>1092</v>
      </c>
      <c r="F162" s="37" t="str">
        <f>IFERROR(INDEX(tblProducts[Category],MATCH(tblSales[[#This Row],[Product]],tblProducts[Product],0)),"Uncategorized")</f>
        <v>Training</v>
      </c>
      <c r="G162" s="42">
        <v>2</v>
      </c>
      <c r="H162" s="24">
        <v>900</v>
      </c>
      <c r="I162" s="43">
        <f>tblSales[[#This Row],[Quantity]]*tblSales[[#This Row],[Unit Price]]</f>
        <v>1800</v>
      </c>
      <c r="J162" s="25" t="s">
        <v>102</v>
      </c>
      <c r="K162" s="25" t="s">
        <v>123</v>
      </c>
    </row>
    <row r="163" spans="2:11" ht="14.4" x14ac:dyDescent="0.3">
      <c r="B163" s="23" t="s">
        <v>1268</v>
      </c>
      <c r="C163" s="22">
        <v>46275</v>
      </c>
      <c r="D163" s="23" t="s">
        <v>304</v>
      </c>
      <c r="E163" s="23" t="s">
        <v>1087</v>
      </c>
      <c r="F163" s="37" t="str">
        <f>IFERROR(INDEX(tblProducts[Category],MATCH(tblSales[[#This Row],[Product]],tblProducts[Product],0)),"Uncategorized")</f>
        <v>Consulting</v>
      </c>
      <c r="G163" s="42">
        <v>4</v>
      </c>
      <c r="H163" s="24">
        <v>180</v>
      </c>
      <c r="I163" s="43">
        <f>tblSales[[#This Row],[Quantity]]*tblSales[[#This Row],[Unit Price]]</f>
        <v>720</v>
      </c>
      <c r="J163" s="25" t="s">
        <v>103</v>
      </c>
      <c r="K163" s="25" t="s">
        <v>123</v>
      </c>
    </row>
    <row r="164" spans="2:11" ht="14.4" x14ac:dyDescent="0.3">
      <c r="B164" s="23" t="s">
        <v>1269</v>
      </c>
      <c r="C164" s="22">
        <v>46276</v>
      </c>
      <c r="D164" s="23" t="s">
        <v>241</v>
      </c>
      <c r="E164" s="23" t="s">
        <v>1076</v>
      </c>
      <c r="F164" s="37" t="str">
        <f>IFERROR(INDEX(tblProducts[Category],MATCH(tblSales[[#This Row],[Product]],tblProducts[Product],0)),"Uncategorized")</f>
        <v>Support Plans</v>
      </c>
      <c r="G164" s="42">
        <v>4</v>
      </c>
      <c r="H164" s="24">
        <v>240</v>
      </c>
      <c r="I164" s="43">
        <f>tblSales[[#This Row],[Quantity]]*tblSales[[#This Row],[Unit Price]]</f>
        <v>960</v>
      </c>
      <c r="J164" s="25" t="s">
        <v>102</v>
      </c>
      <c r="K164" s="25" t="s">
        <v>123</v>
      </c>
    </row>
    <row r="165" spans="2:11" ht="14.4" x14ac:dyDescent="0.3">
      <c r="B165" s="23" t="s">
        <v>1270</v>
      </c>
      <c r="C165" s="22">
        <v>46276</v>
      </c>
      <c r="D165" s="23" t="s">
        <v>307</v>
      </c>
      <c r="E165" s="23" t="s">
        <v>1077</v>
      </c>
      <c r="F165" s="37" t="str">
        <f>IFERROR(INDEX(tblProducts[Category],MATCH(tblSales[[#This Row],[Product]],tblProducts[Product],0)),"Uncategorized")</f>
        <v>Digital Products</v>
      </c>
      <c r="G165" s="42">
        <v>2</v>
      </c>
      <c r="H165" s="24">
        <v>49</v>
      </c>
      <c r="I165" s="43">
        <f>tblSales[[#This Row],[Quantity]]*tblSales[[#This Row],[Unit Price]]</f>
        <v>98</v>
      </c>
      <c r="J165" s="25" t="s">
        <v>102</v>
      </c>
      <c r="K165" s="25" t="s">
        <v>123</v>
      </c>
    </row>
    <row r="166" spans="2:11" ht="14.4" x14ac:dyDescent="0.3">
      <c r="B166" s="23" t="s">
        <v>1271</v>
      </c>
      <c r="C166" s="22">
        <v>46278</v>
      </c>
      <c r="D166" s="23" t="s">
        <v>345</v>
      </c>
      <c r="E166" s="23" t="s">
        <v>1077</v>
      </c>
      <c r="F166" s="37" t="str">
        <f>IFERROR(INDEX(tblProducts[Category],MATCH(tblSales[[#This Row],[Product]],tblProducts[Product],0)),"Uncategorized")</f>
        <v>Digital Products</v>
      </c>
      <c r="G166" s="42">
        <v>3</v>
      </c>
      <c r="H166" s="24">
        <v>49</v>
      </c>
      <c r="I166" s="43">
        <f>tblSales[[#This Row],[Quantity]]*tblSales[[#This Row],[Unit Price]]</f>
        <v>147</v>
      </c>
      <c r="J166" s="25" t="s">
        <v>102</v>
      </c>
      <c r="K166" s="25" t="s">
        <v>123</v>
      </c>
    </row>
    <row r="167" spans="2:11" ht="14.4" x14ac:dyDescent="0.3">
      <c r="B167" s="23" t="s">
        <v>1272</v>
      </c>
      <c r="C167" s="22">
        <v>46278</v>
      </c>
      <c r="D167" s="23" t="s">
        <v>307</v>
      </c>
      <c r="E167" s="23" t="s">
        <v>1077</v>
      </c>
      <c r="F167" s="37" t="str">
        <f>IFERROR(INDEX(tblProducts[Category],MATCH(tblSales[[#This Row],[Product]],tblProducts[Product],0)),"Uncategorized")</f>
        <v>Digital Products</v>
      </c>
      <c r="G167" s="42">
        <v>2</v>
      </c>
      <c r="H167" s="24">
        <v>49</v>
      </c>
      <c r="I167" s="43">
        <f>tblSales[[#This Row],[Quantity]]*tblSales[[#This Row],[Unit Price]]</f>
        <v>98</v>
      </c>
      <c r="J167" s="25" t="s">
        <v>102</v>
      </c>
      <c r="K167" s="25" t="s">
        <v>124</v>
      </c>
    </row>
    <row r="168" spans="2:11" ht="14.4" x14ac:dyDescent="0.3">
      <c r="B168" s="23" t="s">
        <v>1273</v>
      </c>
      <c r="C168" s="22">
        <v>46280</v>
      </c>
      <c r="D168" s="23" t="s">
        <v>267</v>
      </c>
      <c r="E168" s="23" t="s">
        <v>1092</v>
      </c>
      <c r="F168" s="37" t="str">
        <f>IFERROR(INDEX(tblProducts[Category],MATCH(tblSales[[#This Row],[Product]],tblProducts[Product],0)),"Uncategorized")</f>
        <v>Training</v>
      </c>
      <c r="G168" s="42">
        <v>3</v>
      </c>
      <c r="H168" s="24">
        <v>900</v>
      </c>
      <c r="I168" s="43">
        <f>tblSales[[#This Row],[Quantity]]*tblSales[[#This Row],[Unit Price]]</f>
        <v>2700</v>
      </c>
      <c r="J168" s="25" t="s">
        <v>102</v>
      </c>
      <c r="K168" s="25" t="s">
        <v>125</v>
      </c>
    </row>
    <row r="169" spans="2:11" ht="14.4" x14ac:dyDescent="0.3">
      <c r="B169" s="23" t="s">
        <v>1274</v>
      </c>
      <c r="C169" s="22">
        <v>46283</v>
      </c>
      <c r="D169" s="23" t="s">
        <v>345</v>
      </c>
      <c r="E169" s="23" t="s">
        <v>1087</v>
      </c>
      <c r="F169" s="37" t="str">
        <f>IFERROR(INDEX(tblProducts[Category],MATCH(tblSales[[#This Row],[Product]],tblProducts[Product],0)),"Uncategorized")</f>
        <v>Consulting</v>
      </c>
      <c r="G169" s="42">
        <v>2</v>
      </c>
      <c r="H169" s="24">
        <v>180</v>
      </c>
      <c r="I169" s="43">
        <f>tblSales[[#This Row],[Quantity]]*tblSales[[#This Row],[Unit Price]]</f>
        <v>360</v>
      </c>
      <c r="J169" s="25" t="s">
        <v>103</v>
      </c>
      <c r="K169" s="25" t="s">
        <v>125</v>
      </c>
    </row>
    <row r="170" spans="2:11" ht="14.4" x14ac:dyDescent="0.3">
      <c r="B170" s="23" t="s">
        <v>1275</v>
      </c>
      <c r="C170" s="22">
        <v>46283</v>
      </c>
      <c r="D170" s="23" t="s">
        <v>290</v>
      </c>
      <c r="E170" s="23" t="s">
        <v>1086</v>
      </c>
      <c r="F170" s="37" t="str">
        <f>IFERROR(INDEX(tblProducts[Category],MATCH(tblSales[[#This Row],[Product]],tblProducts[Product],0)),"Uncategorized")</f>
        <v>Support Plans</v>
      </c>
      <c r="G170" s="42">
        <v>1</v>
      </c>
      <c r="H170" s="24">
        <v>350</v>
      </c>
      <c r="I170" s="43">
        <f>tblSales[[#This Row],[Quantity]]*tblSales[[#This Row],[Unit Price]]</f>
        <v>350</v>
      </c>
      <c r="J170" s="25" t="s">
        <v>102</v>
      </c>
      <c r="K170" s="25" t="s">
        <v>124</v>
      </c>
    </row>
    <row r="171" spans="2:11" ht="14.4" x14ac:dyDescent="0.3">
      <c r="B171" s="23" t="s">
        <v>1276</v>
      </c>
      <c r="C171" s="22">
        <v>46284</v>
      </c>
      <c r="D171" s="23" t="s">
        <v>304</v>
      </c>
      <c r="E171" s="23" t="s">
        <v>1087</v>
      </c>
      <c r="F171" s="37" t="str">
        <f>IFERROR(INDEX(tblProducts[Category],MATCH(tblSales[[#This Row],[Product]],tblProducts[Product],0)),"Uncategorized")</f>
        <v>Consulting</v>
      </c>
      <c r="G171" s="42">
        <v>2</v>
      </c>
      <c r="H171" s="24">
        <v>180</v>
      </c>
      <c r="I171" s="43">
        <f>tblSales[[#This Row],[Quantity]]*tblSales[[#This Row],[Unit Price]]</f>
        <v>360</v>
      </c>
      <c r="J171" s="25" t="s">
        <v>103</v>
      </c>
      <c r="K171" s="25" t="s">
        <v>125</v>
      </c>
    </row>
    <row r="172" spans="2:11" ht="14.4" x14ac:dyDescent="0.3">
      <c r="B172" s="23" t="s">
        <v>1277</v>
      </c>
      <c r="C172" s="22">
        <v>46286</v>
      </c>
      <c r="D172" s="23" t="s">
        <v>267</v>
      </c>
      <c r="E172" s="23" t="s">
        <v>1082</v>
      </c>
      <c r="F172" s="37" t="str">
        <f>IFERROR(INDEX(tblProducts[Category],MATCH(tblSales[[#This Row],[Product]],tblProducts[Product],0)),"Uncategorized")</f>
        <v>Digital Products</v>
      </c>
      <c r="G172" s="42">
        <v>2</v>
      </c>
      <c r="H172" s="24">
        <v>149</v>
      </c>
      <c r="I172" s="43">
        <f>tblSales[[#This Row],[Quantity]]*tblSales[[#This Row],[Unit Price]]</f>
        <v>298</v>
      </c>
      <c r="J172" s="25" t="s">
        <v>102</v>
      </c>
      <c r="K172" s="25" t="s">
        <v>125</v>
      </c>
    </row>
    <row r="173" spans="2:11" ht="14.4" x14ac:dyDescent="0.3">
      <c r="B173" s="23" t="s">
        <v>1278</v>
      </c>
      <c r="C173" s="22">
        <v>46287</v>
      </c>
      <c r="D173" s="23" t="s">
        <v>359</v>
      </c>
      <c r="E173" s="23" t="s">
        <v>1087</v>
      </c>
      <c r="F173" s="37" t="str">
        <f>IFERROR(INDEX(tblProducts[Category],MATCH(tblSales[[#This Row],[Product]],tblProducts[Product],0)),"Uncategorized")</f>
        <v>Consulting</v>
      </c>
      <c r="G173" s="42">
        <v>4</v>
      </c>
      <c r="H173" s="24">
        <v>180</v>
      </c>
      <c r="I173" s="43">
        <f>tblSales[[#This Row],[Quantity]]*tblSales[[#This Row],[Unit Price]]</f>
        <v>720</v>
      </c>
      <c r="J173" s="25" t="s">
        <v>103</v>
      </c>
      <c r="K173" s="25" t="s">
        <v>124</v>
      </c>
    </row>
    <row r="174" spans="2:11" ht="14.4" x14ac:dyDescent="0.3">
      <c r="B174" s="23" t="s">
        <v>1279</v>
      </c>
      <c r="C174" s="22">
        <v>46288</v>
      </c>
      <c r="D174" s="23" t="s">
        <v>359</v>
      </c>
      <c r="E174" s="23" t="s">
        <v>1092</v>
      </c>
      <c r="F174" s="37" t="str">
        <f>IFERROR(INDEX(tblProducts[Category],MATCH(tblSales[[#This Row],[Product]],tblProducts[Product],0)),"Uncategorized")</f>
        <v>Training</v>
      </c>
      <c r="G174" s="42">
        <v>3</v>
      </c>
      <c r="H174" s="24">
        <v>900</v>
      </c>
      <c r="I174" s="43">
        <f>tblSales[[#This Row],[Quantity]]*tblSales[[#This Row],[Unit Price]]</f>
        <v>2700</v>
      </c>
      <c r="J174" s="25" t="s">
        <v>102</v>
      </c>
      <c r="K174" s="25" t="s">
        <v>125</v>
      </c>
    </row>
    <row r="175" spans="2:11" ht="14.4" x14ac:dyDescent="0.3">
      <c r="B175" s="23" t="s">
        <v>1280</v>
      </c>
      <c r="C175" s="22">
        <v>46290</v>
      </c>
      <c r="D175" s="23" t="s">
        <v>290</v>
      </c>
      <c r="E175" s="23" t="s">
        <v>1077</v>
      </c>
      <c r="F175" s="37" t="str">
        <f>IFERROR(INDEX(tblProducts[Category],MATCH(tblSales[[#This Row],[Product]],tblProducts[Product],0)),"Uncategorized")</f>
        <v>Digital Products</v>
      </c>
      <c r="G175" s="42">
        <v>1</v>
      </c>
      <c r="H175" s="24">
        <v>49</v>
      </c>
      <c r="I175" s="43">
        <f>tblSales[[#This Row],[Quantity]]*tblSales[[#This Row],[Unit Price]]</f>
        <v>49</v>
      </c>
      <c r="J175" s="25" t="s">
        <v>102</v>
      </c>
      <c r="K175" s="25" t="s">
        <v>125</v>
      </c>
    </row>
  </sheetData>
  <mergeCells count="6">
    <mergeCell ref="B2:W2"/>
    <mergeCell ref="B3:W3"/>
    <mergeCell ref="M5:O5"/>
    <mergeCell ref="B1:W1"/>
    <mergeCell ref="Q5:W5"/>
    <mergeCell ref="B5:K5"/>
  </mergeCells>
  <conditionalFormatting sqref="J7:J175">
    <cfRule type="cellIs" dxfId="1" priority="1" operator="equal">
      <formula>"Pending"</formula>
    </cfRule>
  </conditionalFormatting>
  <conditionalFormatting sqref="B7:K175">
    <cfRule type="expression" dxfId="0" priority="2">
      <formula>$K7="Cancelled"</formula>
    </cfRule>
  </conditionalFormatting>
  <dataValidations count="4">
    <dataValidation type="list" allowBlank="1" sqref="J7:J175" xr:uid="{00000000-0002-0000-0800-000000000000}">
      <formula1>"Paid,Pending,Void"</formula1>
    </dataValidation>
    <dataValidation type="list" allowBlank="1" sqref="K7:K175" xr:uid="{00000000-0002-0000-0800-000001000000}">
      <formula1>"Delivered,Shipped,Processing,Cancelled"</formula1>
    </dataValidation>
    <dataValidation type="list" allowBlank="1" sqref="E7:E175" xr:uid="{00000000-0002-0000-0800-000002000000}">
      <formula1>INDIRECT("tblProducts[Product]")</formula1>
    </dataValidation>
    <dataValidation type="list" allowBlank="1" sqref="D7:D175" xr:uid="{00000000-0002-0000-0800-000003000000}">
      <formula1>INDIRECT("tblCustomers[Customer Name]")</formula1>
    </dataValidation>
  </dataValidations>
  <printOptions horizontalCentered="1"/>
  <pageMargins left="0.4" right="0.4" top="0.5" bottom="0.5" header="0.5" footer="0.5"/>
  <pageSetup fitToHeight="0" orientation="landscape"/>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START_HERE</vt:lpstr>
      <vt:lpstr>SALES_DASHBOARD</vt:lpstr>
      <vt:lpstr>EXPENSES</vt:lpstr>
      <vt:lpstr>INVOICES</vt:lpstr>
      <vt:lpstr>CRM</vt:lpstr>
      <vt:lpstr>KPI_DASHBOARD</vt:lpstr>
      <vt:lpstr>DATA_CLEANER</vt:lpstr>
      <vt:lpstr>AI_PROMPTS</vt:lpstr>
      <vt:lpstr>EXAMPLE_DATA</vt:lpstr>
      <vt:lpstr>AsOfDate</vt:lpstr>
      <vt:lpstr>StartMonth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 Excel Business Toolkit</dc:title>
  <dc:subject>Sales, expenses, invoices, CRM, KPI and data-cleaning workbook</dc:subject>
  <dc:creator>AI Excel Business Toolkit</dc:creator>
  <cp:keywords>Excel, business, dashboard, invoices, CRM, KPI, AI prompts</cp:keywords>
  <cp:lastModifiedBy>fatima va</cp:lastModifiedBy>
  <dcterms:created xsi:type="dcterms:W3CDTF">2026-10-01T07:11:41Z</dcterms:created>
  <dcterms:modified xsi:type="dcterms:W3CDTF">2026-10-01T08:24:21Z</dcterms:modified>
</cp:coreProperties>
</file>