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rror Analysis" sheetId="2" state="visible" r:id="rId4"/>
    <sheet name="Compare Table" sheetId="3" state="visible" r:id="rId5"/>
    <sheet name="Ohm &amp; Power" sheetId="4" state="visible" r:id="rId6"/>
    <sheet name="Op-Amp" sheetId="5" state="visible" r:id="rId7"/>
    <sheet name="Machines" sheetId="6" state="visible" r:id="rId8"/>
    <sheet name="AC &amp; 3-Phase" sheetId="7" state="visible" r:id="rId9"/>
    <sheet name="Resistor Code" sheetId="8" state="visible" r:id="rId10"/>
    <sheet name="Graph &amp; Fit" sheetId="9" state="visible" r:id="rId11"/>
    <sheet name="Unit Converter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<sst xmlns="http://schemas.openxmlformats.org/spreadsheetml/2006/main" count="501" uniqueCount="347">
  <si>
    <t xml:space="preserve">The Electrical Lab Toolkit</t>
  </si>
  <si>
    <t xml:space="preserve">10 ready-made calculators and templates for engineering lab reports</t>
  </si>
  <si>
    <t xml:space="preserve">How it works</t>
  </si>
  <si>
    <t xml:space="preserve">1. Open a sheet from the list below (click the sheet name).</t>
  </si>
  <si>
    <t xml:space="preserve">2. Type your own numbers in the yellow cells. Example values are pre-filled so you can see how each sheet works.</t>
  </si>
  <si>
    <t xml:space="preserve">3. Read your answers in the grey cells. Every result is a live formula and updates as you type.</t>
  </si>
  <si>
    <t xml:space="preserve">4. Copy the results into your report. Show at least one worked calculation by hand, as your lecturer requires.</t>
  </si>
  <si>
    <t xml:space="preserve">Colour guide</t>
  </si>
  <si>
    <t xml:space="preserve">Yellow cell</t>
  </si>
  <si>
    <t xml:space="preserve">You type here (blue text).</t>
  </si>
  <si>
    <t xml:space="preserve">Grey cell</t>
  </si>
  <si>
    <t xml:space="preserve">Calculated for you. Do not type over these cells.</t>
  </si>
  <si>
    <t xml:space="preserve">What's inside</t>
  </si>
  <si>
    <t xml:space="preserve">Sheet</t>
  </si>
  <si>
    <t xml:space="preserve">What it does</t>
  </si>
  <si>
    <t xml:space="preserve">Best for</t>
  </si>
  <si>
    <t xml:space="preserve">Error Analysis</t>
  </si>
  <si>
    <t xml:space="preserve">Mean, standard deviation, standard error and percentage error from up to 10 repeated readings</t>
  </si>
  <si>
    <t xml:space="preserve">Any lab report</t>
  </si>
  <si>
    <t xml:space="preserve">Compare Table</t>
  </si>
  <si>
    <t xml:space="preserve">Measured vs theoretical for up to 15 trials, with error and % error per row and warnings</t>
  </si>
  <si>
    <t xml:space="preserve">Results tables</t>
  </si>
  <si>
    <t xml:space="preserve">Ohm &amp; Power</t>
  </si>
  <si>
    <t xml:space="preserve">Ohm's law, power, series and parallel resistance, voltage divider</t>
  </si>
  <si>
    <t xml:space="preserve">Circuits, basic electronics</t>
  </si>
  <si>
    <t xml:space="preserve">Op-Amp</t>
  </si>
  <si>
    <t xml:space="preserve">Inverting and non-inverting gain, output with saturation check, design helper</t>
  </si>
  <si>
    <t xml:space="preserve">Op-amp labs</t>
  </si>
  <si>
    <t xml:space="preserve">Machines</t>
  </si>
  <si>
    <t xml:space="preserve">Induction motor (slip, efficiency), transformer (ratio, regulation, efficiency), alternator frequency</t>
  </si>
  <si>
    <t xml:space="preserve">Electrical machines</t>
  </si>
  <si>
    <t xml:space="preserve">AC &amp; 3-Phase</t>
  </si>
  <si>
    <t xml:space="preserve">RMS and peak, period, three-phase power (S, P, Q), power factor correction</t>
  </si>
  <si>
    <t xml:space="preserve">AC and power labs</t>
  </si>
  <si>
    <t xml:space="preserve">Resistor Code</t>
  </si>
  <si>
    <t xml:space="preserve">Decode 4-band resistors and find the nearest standard E12 value</t>
  </si>
  <si>
    <t xml:space="preserve">Component labs</t>
  </si>
  <si>
    <t xml:space="preserve">Graph &amp; Fit</t>
  </si>
  <si>
    <t xml:space="preserve">Enter x-y data, get the best-fit line, slope, intercept, R² and a chart</t>
  </si>
  <si>
    <t xml:space="preserve">Graphs for any report</t>
  </si>
  <si>
    <t xml:space="preserve">Unit Converter</t>
  </si>
  <si>
    <t xml:space="preserve">SI prefix converter, gain to decibels, degrees to radians</t>
  </si>
  <si>
    <t xml:space="preserve">Everyday conversions</t>
  </si>
  <si>
    <t xml:space="preserve">Assumptions and notes</t>
  </si>
  <si>
    <t xml:space="preserve">Standard deviation uses the sample formula (n - 1). Standard error = standard deviation divided by the square root of n.</t>
  </si>
  <si>
    <t xml:space="preserve">Percentage error = |measured - theoretical| / |theoretical| x 100. The theoretical value is the reference.</t>
  </si>
  <si>
    <t xml:space="preserve">Op-amp sheet assumes an ideal op-amp. Enter the output swing limit of your own supply (real op-amps saturate a little below the rails).</t>
  </si>
  <si>
    <t xml:space="preserve">Machine formulas are for balanced three-phase or ideal single-phase conditions. Efficiency is output power divided by input power.</t>
  </si>
  <si>
    <t xml:space="preserve">Resistor colour code covers 4-band resistors. E12 preferred values: 1.0, 1.2, 1.5, 1.8, 2.2, 2.7, 3.3, 3.9, 4.7, 5.6, 6.8, 8.2 (times a power of ten).</t>
  </si>
  <si>
    <t xml:space="preserve">This toolkit checks your arithmetic and saves time. Your experiment, your measurements and your conclusions must be your own work, and your lecturer's instructions come first.</t>
  </si>
  <si>
    <t xml:space="preserve">Questions or feedback: jauvenellambu@gmail.com</t>
  </si>
  <si>
    <t xml:space="preserve">Repeated readings of one quantity: mean, spread and percentage error</t>
  </si>
  <si>
    <t xml:space="preserve">Yellow cells = type your numbers.   Grey cells = calculated for you (do not type over them).   Example values are pre-filled: replace them with yours.</t>
  </si>
  <si>
    <t xml:space="preserve">Your readings (up to 10)</t>
  </si>
  <si>
    <t xml:space="preserve">Reading 1</t>
  </si>
  <si>
    <t xml:space="preserve">Enter the same quantity measured repeatedly. Leave unused rows empty.</t>
  </si>
  <si>
    <t xml:space="preserve">Reading 2</t>
  </si>
  <si>
    <t xml:space="preserve">Reading 3</t>
  </si>
  <si>
    <t xml:space="preserve">Reading 4</t>
  </si>
  <si>
    <t xml:space="preserve">Reading 5</t>
  </si>
  <si>
    <t xml:space="preserve">Reading 6</t>
  </si>
  <si>
    <t xml:space="preserve">Reading 7</t>
  </si>
  <si>
    <t xml:space="preserve">Reading 8</t>
  </si>
  <si>
    <t xml:space="preserve">Reading 9</t>
  </si>
  <si>
    <t xml:space="preserve">Reading 10</t>
  </si>
  <si>
    <t xml:space="preserve">Reference values</t>
  </si>
  <si>
    <t xml:space="preserve">Theoretical (expected) value</t>
  </si>
  <si>
    <t xml:space="preserve">same unit</t>
  </si>
  <si>
    <t xml:space="preserve">The value from theory or the component's rating</t>
  </si>
  <si>
    <t xml:space="preserve">Instrument tolerance (+/-)</t>
  </si>
  <si>
    <t xml:space="preserve">From the instrument's specification, in the same unit</t>
  </si>
  <si>
    <t xml:space="preserve">Results</t>
  </si>
  <si>
    <t xml:space="preserve">Number of readings (n)</t>
  </si>
  <si>
    <t xml:space="preserve">Mean</t>
  </si>
  <si>
    <t xml:space="preserve">Sum of readings divided by n</t>
  </si>
  <si>
    <t xml:space="preserve">Standard deviation (sample)</t>
  </si>
  <si>
    <t xml:space="preserve">Spread of your readings (n - 1 formula)</t>
  </si>
  <si>
    <t xml:space="preserve">Standard error of the mean</t>
  </si>
  <si>
    <t xml:space="preserve">Standard deviation divided by the square root of n</t>
  </si>
  <si>
    <t xml:space="preserve">Smallest reading</t>
  </si>
  <si>
    <t xml:space="preserve">Largest reading</t>
  </si>
  <si>
    <t xml:space="preserve">Range (largest - smallest)</t>
  </si>
  <si>
    <t xml:space="preserve">Absolute error of the mean</t>
  </si>
  <si>
    <t xml:space="preserve">|mean - theoretical|</t>
  </si>
  <si>
    <t xml:space="preserve">Percentage error</t>
  </si>
  <si>
    <t xml:space="preserve">%</t>
  </si>
  <si>
    <t xml:space="preserve">Absolute error / |theoretical| x 100</t>
  </si>
  <si>
    <t xml:space="preserve">Report this as</t>
  </si>
  <si>
    <t xml:space="preserve">Mean +/- standard error, ready for your results section</t>
  </si>
  <si>
    <t xml:space="preserve">Mean within instrument tolerance?</t>
  </si>
  <si>
    <t xml:space="preserve">Compares the absolute error with the tolerance above</t>
  </si>
  <si>
    <t xml:space="preserve">Measured vs theoretical values, with error and percentage error for every trial</t>
  </si>
  <si>
    <t xml:space="preserve">Flag % errors above:</t>
  </si>
  <si>
    <t xml:space="preserve">%  (cells above this limit turn red)</t>
  </si>
  <si>
    <t xml:space="preserve">Trial</t>
  </si>
  <si>
    <t xml:space="preserve">Measured</t>
  </si>
  <si>
    <t xml:space="preserve">Theoretical</t>
  </si>
  <si>
    <t xml:space="preserve">Absolute error</t>
  </si>
  <si>
    <t xml:space="preserve">% error</t>
  </si>
  <si>
    <t xml:space="preserve">Tip</t>
  </si>
  <si>
    <t xml:space="preserve">Add the units in your report's table headings.</t>
  </si>
  <si>
    <t xml:space="preserve">Percentage error uses the theoretical value as reference.</t>
  </si>
  <si>
    <t xml:space="preserve">Summary</t>
  </si>
  <si>
    <t xml:space="preserve">Trials entered</t>
  </si>
  <si>
    <t xml:space="preserve">Mean absolute error</t>
  </si>
  <si>
    <t xml:space="preserve">Mean % error</t>
  </si>
  <si>
    <t xml:space="preserve">Largest % error</t>
  </si>
  <si>
    <t xml:space="preserve">Trial with largest error</t>
  </si>
  <si>
    <t xml:space="preserve">Trials above the limit</t>
  </si>
  <si>
    <t xml:space="preserve">Ohm's law, power, series and parallel resistors, voltage divider</t>
  </si>
  <si>
    <t xml:space="preserve">Voltage and resistance known</t>
  </si>
  <si>
    <t xml:space="preserve">Voltage V</t>
  </si>
  <si>
    <t xml:space="preserve">V</t>
  </si>
  <si>
    <t xml:space="preserve">Resistance R</t>
  </si>
  <si>
    <t xml:space="preserve">Ω</t>
  </si>
  <si>
    <t xml:space="preserve">Current I</t>
  </si>
  <si>
    <t xml:space="preserve">A</t>
  </si>
  <si>
    <t xml:space="preserve">I = V / R</t>
  </si>
  <si>
    <t xml:space="preserve">Power P</t>
  </si>
  <si>
    <t xml:space="preserve">W</t>
  </si>
  <si>
    <t xml:space="preserve">P = V^2 / R</t>
  </si>
  <si>
    <t xml:space="preserve">Voltage and current known</t>
  </si>
  <si>
    <t xml:space="preserve">R = V / I</t>
  </si>
  <si>
    <t xml:space="preserve">P = V x I</t>
  </si>
  <si>
    <t xml:space="preserve">Power and voltage known</t>
  </si>
  <si>
    <t xml:space="preserve">I = P / V</t>
  </si>
  <si>
    <t xml:space="preserve">R = V^2 / P</t>
  </si>
  <si>
    <t xml:space="preserve">Series and parallel resistors (leave unused rows empty)</t>
  </si>
  <si>
    <t xml:space="preserve">R1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</si>
  <si>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</si>
  <si>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</si>
  <si>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</si>
  <si>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</si>
  <si>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</si>
  <si>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Series total</t>
  </si>
  <si>
    <t xml:space="preserve">R = R1 + R2 + ...</t>
  </si>
  <si>
    <t xml:space="preserve">Parallel total</t>
  </si>
  <si>
    <t xml:space="preserve">1/R = 1/R1 + 1/R2 + ...</t>
  </si>
  <si>
    <t xml:space="preserve">Voltage divider (R1 on top, R2 to ground)</t>
  </si>
  <si>
    <t xml:space="preserve">Input voltage</t>
  </si>
  <si>
    <t xml:space="preserve">R1 (top)</t>
  </si>
  <si>
    <t xml:space="preserve">R2 (bottom)</t>
  </si>
  <si>
    <t xml:space="preserve">Output voltage</t>
  </si>
  <si>
    <t xml:space="preserve">Vout = Vin x R2 / (R1 + R2)</t>
  </si>
  <si>
    <t xml:space="preserve">Divider current</t>
  </si>
  <si>
    <t xml:space="preserve">I = Vin / (R1 + R2)</t>
  </si>
  <si>
    <t xml:space="preserve">Ideal op-amp gain and output, with a saturation check</t>
  </si>
  <si>
    <t xml:space="preserve">Supply limit</t>
  </si>
  <si>
    <t xml:space="preserve">Output swing limit (+/-)</t>
  </si>
  <si>
    <t xml:space="preserve">Approximately your supply voltage. Real op-amps saturate slightly below the rails.</t>
  </si>
  <si>
    <t xml:space="preserve">Inverting amplifier</t>
  </si>
  <si>
    <t xml:space="preserve">Input voltage Vin</t>
  </si>
  <si>
    <t xml:space="preserve">Input resistor Rin</t>
  </si>
  <si>
    <t xml:space="preserve">Feedback resistor Rf</t>
  </si>
  <si>
    <t xml:space="preserve">Voltage gain</t>
  </si>
  <si>
    <t xml:space="preserve">V/V</t>
  </si>
  <si>
    <t xml:space="preserve">Gain = -Rf / Rin</t>
  </si>
  <si>
    <t xml:space="preserve">Ideal output Vout</t>
  </si>
  <si>
    <t xml:space="preserve">Vout = gain x Vin</t>
  </si>
  <si>
    <t xml:space="preserve">Output after limit</t>
  </si>
  <si>
    <t xml:space="preserve">Clipped to the output swing limit</t>
  </si>
  <si>
    <t xml:space="preserve">Status</t>
  </si>
  <si>
    <t xml:space="preserve">Non-inverting amplifier</t>
  </si>
  <si>
    <t xml:space="preserve">Ground resistor Rg</t>
  </si>
  <si>
    <t xml:space="preserve">Gain = 1 + Rf / Rg</t>
  </si>
  <si>
    <t xml:space="preserve">Design helper: choose resistors for a target gain</t>
  </si>
  <si>
    <t xml:space="preserve">Target gain (magnitude)</t>
  </si>
  <si>
    <t xml:space="preserve">Rin you will use (inverting)</t>
  </si>
  <si>
    <t xml:space="preserve">Rf needed (inverting)</t>
  </si>
  <si>
    <t xml:space="preserve">Rf = gain x Rin</t>
  </si>
  <si>
    <t xml:space="preserve">Rg you will use (non-inverting)</t>
  </si>
  <si>
    <t xml:space="preserve">Rf needed (non-inverting)</t>
  </si>
  <si>
    <t xml:space="preserve">Rf = (gain - 1) x Rg. Only for gain of 1 or more.</t>
  </si>
  <si>
    <t xml:space="preserve">Compare with your measurement (inverting circuit above)</t>
  </si>
  <si>
    <t xml:space="preserve">Measured output voltage</t>
  </si>
  <si>
    <t xml:space="preserve">Difference from calculated</t>
  </si>
  <si>
    <t xml:space="preserve">|measured - calculated| / |calculated| x 100</t>
  </si>
  <si>
    <t xml:space="preserve">Induction motor, transformer and alternator calculations</t>
  </si>
  <si>
    <t xml:space="preserve">Three-phase induction motor</t>
  </si>
  <si>
    <t xml:space="preserve">Supply frequency f</t>
  </si>
  <si>
    <t xml:space="preserve">Hz</t>
  </si>
  <si>
    <t xml:space="preserve">Number of poles p</t>
  </si>
  <si>
    <t xml:space="preserve">Total poles (4 poles = 2 pole pairs)</t>
  </si>
  <si>
    <t xml:space="preserve">Rotor speed N</t>
  </si>
  <si>
    <t xml:space="preserve">rpm</t>
  </si>
  <si>
    <t xml:space="preserve">Line voltage VL</t>
  </si>
  <si>
    <t xml:space="preserve">Line current IL</t>
  </si>
  <si>
    <t xml:space="preserve">Power factor</t>
  </si>
  <si>
    <t xml:space="preserve">Between 0 and 1</t>
  </si>
  <si>
    <t xml:space="preserve">Shaft torque T</t>
  </si>
  <si>
    <t xml:space="preserve">N.m</t>
  </si>
  <si>
    <t xml:space="preserve">Synchronous speed Ns</t>
  </si>
  <si>
    <t xml:space="preserve">Ns = 120 f / p</t>
  </si>
  <si>
    <t xml:space="preserve">Slip s</t>
  </si>
  <si>
    <t xml:space="preserve">s = (Ns - N) / Ns</t>
  </si>
  <si>
    <t xml:space="preserve">Slip in percent</t>
  </si>
  <si>
    <t xml:space="preserve">Rotor frequency</t>
  </si>
  <si>
    <t xml:space="preserve">f2 = s x f</t>
  </si>
  <si>
    <t xml:space="preserve">Input power</t>
  </si>
  <si>
    <t xml:space="preserve">Pin = sqrt(3) x VL x IL x power factor</t>
  </si>
  <si>
    <t xml:space="preserve">Output (shaft) power</t>
  </si>
  <si>
    <t xml:space="preserve">Pout = 2 x pi x N x T / 60</t>
  </si>
  <si>
    <t xml:space="preserve">Efficiency</t>
  </si>
  <si>
    <t xml:space="preserve">Pout / Pin x 100</t>
  </si>
  <si>
    <t xml:space="preserve">Single-phase transformer</t>
  </si>
  <si>
    <t xml:space="preserve">Primary voltage V1</t>
  </si>
  <si>
    <t xml:space="preserve">Secondary voltage, no load</t>
  </si>
  <si>
    <t xml:space="preserve">Secondary voltage, full load</t>
  </si>
  <si>
    <t xml:space="preserve">Output power</t>
  </si>
  <si>
    <t xml:space="preserve">Turns ratio (V1 / V2)</t>
  </si>
  <si>
    <t xml:space="preserve">a = N1 / N2 = V1 / V2 at no load</t>
  </si>
  <si>
    <t xml:space="preserve">Voltage regulation</t>
  </si>
  <si>
    <t xml:space="preserve">(V no-load - V full-load) / V full-load x 100</t>
  </si>
  <si>
    <t xml:space="preserve">Total losses</t>
  </si>
  <si>
    <t xml:space="preserve">Pin - Pout</t>
  </si>
  <si>
    <t xml:space="preserve">Synchronous generator (alternator)</t>
  </si>
  <si>
    <t xml:space="preserve">Number of poles</t>
  </si>
  <si>
    <t xml:space="preserve">Rotor speed</t>
  </si>
  <si>
    <t xml:space="preserve">Target frequency</t>
  </si>
  <si>
    <t xml:space="preserve">Frequency generated</t>
  </si>
  <si>
    <t xml:space="preserve">f = p x N / 120</t>
  </si>
  <si>
    <t xml:space="preserve">Speed needed for target</t>
  </si>
  <si>
    <t xml:space="preserve">N = 120 f / p</t>
  </si>
  <si>
    <t xml:space="preserve">AC &amp; Three-Phase</t>
  </si>
  <si>
    <t xml:space="preserve">Sine waves, three-phase power and power factor correction</t>
  </si>
  <si>
    <t xml:space="preserve">Sine wave</t>
  </si>
  <si>
    <t xml:space="preserve">Peak voltage</t>
  </si>
  <si>
    <t xml:space="preserve">Frequency</t>
  </si>
  <si>
    <t xml:space="preserve">RMS voltage</t>
  </si>
  <si>
    <t xml:space="preserve">Vrms = Vpeak / sqrt(2)</t>
  </si>
  <si>
    <t xml:space="preserve">Period</t>
  </si>
  <si>
    <t xml:space="preserve">ms</t>
  </si>
  <si>
    <t xml:space="preserve">T = 1 / f</t>
  </si>
  <si>
    <t xml:space="preserve">Angular frequency</t>
  </si>
  <si>
    <t xml:space="preserve">rad/s</t>
  </si>
  <si>
    <t xml:space="preserve">w = 2 x pi x f</t>
  </si>
  <si>
    <t xml:space="preserve">Three-phase load</t>
  </si>
  <si>
    <t xml:space="preserve">Connection</t>
  </si>
  <si>
    <t xml:space="preserve">Star</t>
  </si>
  <si>
    <t xml:space="preserve">Choose Star or Delta from the list</t>
  </si>
  <si>
    <t xml:space="preserve">Apparent power S</t>
  </si>
  <si>
    <t xml:space="preserve">VA</t>
  </si>
  <si>
    <t xml:space="preserve">S = sqrt(3) x VL x IL</t>
  </si>
  <si>
    <t xml:space="preserve">Real power P</t>
  </si>
  <si>
    <t xml:space="preserve">P = S x power factor</t>
  </si>
  <si>
    <t xml:space="preserve">Reactive power Q</t>
  </si>
  <si>
    <t xml:space="preserve">var</t>
  </si>
  <si>
    <t xml:space="preserve">Q = S x sin(angle)</t>
  </si>
  <si>
    <t xml:space="preserve">Phase angle</t>
  </si>
  <si>
    <t xml:space="preserve">deg</t>
  </si>
  <si>
    <t xml:space="preserve">angle = arccos(power factor)</t>
  </si>
  <si>
    <t xml:space="preserve">Phase voltage</t>
  </si>
  <si>
    <t xml:space="preserve">Star: VL / sqrt(3).  Delta: VL</t>
  </si>
  <si>
    <t xml:space="preserve">Phase current</t>
  </si>
  <si>
    <t xml:space="preserve">Star: IL.  Delta: IL / sqrt(3)</t>
  </si>
  <si>
    <t xml:space="preserve">Power factor correction (uses the load above)</t>
  </si>
  <si>
    <t xml:space="preserve">Target power factor</t>
  </si>
  <si>
    <t xml:space="preserve">Must be higher than the present power factor</t>
  </si>
  <si>
    <t xml:space="preserve">Capacitor bank needed</t>
  </si>
  <si>
    <t xml:space="preserve">kvar</t>
  </si>
  <si>
    <t xml:space="preserve">Qc = P x (tan(angle1) - tan(angle2))</t>
  </si>
  <si>
    <t xml:space="preserve">Decode 4-band resistors and pick the nearest standard value</t>
  </si>
  <si>
    <t xml:space="preserve">Decode a 4-band resistor</t>
  </si>
  <si>
    <t xml:space="preserve">Colour</t>
  </si>
  <si>
    <t xml:space="preserve">Digit</t>
  </si>
  <si>
    <t xml:space="preserve">Multiplier</t>
  </si>
  <si>
    <t xml:space="preserve">Tol. %</t>
  </si>
  <si>
    <t xml:space="preserve">E12</t>
  </si>
  <si>
    <t xml:space="preserve">Distance</t>
  </si>
  <si>
    <t xml:space="preserve">Band 1 (first digit)</t>
  </si>
  <si>
    <t xml:space="preserve">Yellow</t>
  </si>
  <si>
    <t xml:space="preserve">Choose the colour from the drop-down list</t>
  </si>
  <si>
    <t xml:space="preserve">Black</t>
  </si>
  <si>
    <t xml:space="preserve">Brown</t>
  </si>
  <si>
    <t xml:space="preserve">Band 2 (second digit)</t>
  </si>
  <si>
    <t xml:space="preserve">Violet</t>
  </si>
  <si>
    <t xml:space="preserve">Red</t>
  </si>
  <si>
    <t xml:space="preserve">Band 3 (multiplier)</t>
  </si>
  <si>
    <t xml:space="preserve">Green</t>
  </si>
  <si>
    <t xml:space="preserve">Band 4 (tolerance)</t>
  </si>
  <si>
    <t xml:space="preserve">Gold</t>
  </si>
  <si>
    <t xml:space="preserve">Orange</t>
  </si>
  <si>
    <t xml:space="preserve">Blue</t>
  </si>
  <si>
    <t xml:space="preserve">Resistance</t>
  </si>
  <si>
    <t xml:space="preserve">(10 x digit1 + digit2) x multiplier</t>
  </si>
  <si>
    <t xml:space="preserve">Grey</t>
  </si>
  <si>
    <t xml:space="preserve">Reads as</t>
  </si>
  <si>
    <t xml:space="preserve">Tolerance</t>
  </si>
  <si>
    <t xml:space="preserve">Silver</t>
  </si>
  <si>
    <t xml:space="preserve">Minimum value</t>
  </si>
  <si>
    <t xml:space="preserve">None</t>
  </si>
  <si>
    <t xml:space="preserve">Maximum value</t>
  </si>
  <si>
    <t xml:space="preserve">White</t>
  </si>
  <si>
    <t xml:space="preserve">Nearest standard E12 value</t>
  </si>
  <si>
    <t xml:space="preserve">Resistance you need</t>
  </si>
  <si>
    <t xml:space="preserve">From your design calculation</t>
  </si>
  <si>
    <t xml:space="preserve">Mantissa (1 to 10)</t>
  </si>
  <si>
    <t xml:space="preserve">Helper: your value scaled to one digit before the decimal</t>
  </si>
  <si>
    <t xml:space="preserve">Nearest E12 value</t>
  </si>
  <si>
    <t xml:space="preserve">Closest standard value</t>
  </si>
  <si>
    <t xml:space="preserve">Colour tables: reference data used by the formulas on the left.</t>
  </si>
  <si>
    <t xml:space="preserve">Difference from target</t>
  </si>
  <si>
    <t xml:space="preserve">Enter x-y data to get the best-fit line, slope, intercept, R-squared and a chart</t>
  </si>
  <si>
    <t xml:space="preserve">Example: current in mA (X) against voltage in V (Y) for a 1 kΩ resistor. The slope is then the resistance in kohm.</t>
  </si>
  <si>
    <t xml:space="preserve">Point</t>
  </si>
  <si>
    <t xml:space="preserve">X</t>
  </si>
  <si>
    <t xml:space="preserve">Y</t>
  </si>
  <si>
    <t xml:space="preserve">Best-fit line results</t>
  </si>
  <si>
    <t xml:space="preserve">Points used</t>
  </si>
  <si>
    <t xml:space="preserve">Slope (m)</t>
  </si>
  <si>
    <t xml:space="preserve">Intercept (c)</t>
  </si>
  <si>
    <t xml:space="preserve">R-squared</t>
  </si>
  <si>
    <t xml:space="preserve">Equation</t>
  </si>
  <si>
    <t xml:space="preserve">Predict Y from a new X</t>
  </si>
  <si>
    <t xml:space="preserve">X value</t>
  </si>
  <si>
    <t xml:space="preserve">Predicted Y</t>
  </si>
  <si>
    <t xml:space="preserve">SI prefixes, decibels and angles</t>
  </si>
  <si>
    <t xml:space="preserve">SI prefix converter</t>
  </si>
  <si>
    <t xml:space="preserve">Prefix</t>
  </si>
  <si>
    <t xml:space="preserve">Factor</t>
  </si>
  <si>
    <t xml:space="preserve">Value</t>
  </si>
  <si>
    <t xml:space="preserve">giga (G)</t>
  </si>
  <si>
    <t xml:space="preserve">From prefix</t>
  </si>
  <si>
    <t xml:space="preserve">kilo (k)</t>
  </si>
  <si>
    <t xml:space="preserve">Choose from the list</t>
  </si>
  <si>
    <t xml:space="preserve">mega (M)</t>
  </si>
  <si>
    <t xml:space="preserve">To prefix</t>
  </si>
  <si>
    <t xml:space="preserve">none (1)</t>
  </si>
  <si>
    <t xml:space="preserve">Converted value</t>
  </si>
  <si>
    <t xml:space="preserve">4.7 kilo to none = 4700</t>
  </si>
  <si>
    <t xml:space="preserve">milli (m)</t>
  </si>
  <si>
    <t xml:space="preserve">Gain and decibels</t>
  </si>
  <si>
    <t xml:space="preserve">micro (µ)</t>
  </si>
  <si>
    <t xml:space="preserve">Voltage gain (V/V)</t>
  </si>
  <si>
    <t xml:space="preserve">nano (n)</t>
  </si>
  <si>
    <t xml:space="preserve">Gain in dB</t>
  </si>
  <si>
    <t xml:space="preserve">dB</t>
  </si>
  <si>
    <t xml:space="preserve">dB = 20 x log10(gain)</t>
  </si>
  <si>
    <t xml:space="preserve">pico (p)</t>
  </si>
  <si>
    <t xml:space="preserve">gain = 10^(dB / 20)</t>
  </si>
  <si>
    <t xml:space="preserve">Power ratio (Pout/Pin)</t>
  </si>
  <si>
    <t xml:space="preserve">Power ratio in dB</t>
  </si>
  <si>
    <t xml:space="preserve">dB = 10 x log10(ratio)</t>
  </si>
  <si>
    <t xml:space="preserve">Angles</t>
  </si>
  <si>
    <t xml:space="preserve">Degrees</t>
  </si>
  <si>
    <t xml:space="preserve">Radians</t>
  </si>
  <si>
    <t xml:space="preserve">rad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</si>
</sst>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.000"/>
    <numFmt numFmtId="166" formatCode="0"/>
    <numFmt numFmtId="167" formatCode="0.0000"/>
    <numFmt numFmtId="168" formatCode="0.00"/>
    <numFmt numFmtId="169" formatCode="@"/>
    <numFmt numFmtId="170" formatCode="#,##0.##"/>
    <numFmt numFmtId="171" formatCode="#,##0.00"/>
    <numFmt numFmtId="172" formatCode="0.000000"/>
    <numFmt numFmtId="173" formatCode="0.0"/>
    <numFmt numFmtId="174" formatCode="#,##0.0"/>
    <numFmt numFmtId="175" formatCode="0.E+00"/>
    <numFmt numFmtId="176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3A5F"/>
      <name val="Arial"/>
      <family val="0"/>
      <charset val="1"/>
    </font>
    <font>
      <b val="true"/>
      <sz val="11"/>
      <color rgb="FF1B8A8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0"/>
      <color rgb="FF1B8A8F"/>
      <name val="Arial"/>
      <family val="0"/>
      <charset val="1"/>
    </font>
    <font>
      <i val="true"/>
      <sz val="9"/>
      <color rgb="FF5A6472"/>
      <name val="Arial"/>
      <family val="0"/>
      <charset val="1"/>
    </font>
    <font>
      <b val="true"/>
      <sz val="10"/>
      <color rgb="FF1B8A8F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i val="true"/>
      <sz val="10"/>
      <color rgb="FF5A6472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E8EEF4"/>
        <bgColor rgb="FFFFFFFF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8CB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B8A8F"/>
      <rgbColor rgb="FFD9D9D9"/>
      <rgbColor rgb="FF878787"/>
      <rgbColor rgb="FF9999FF"/>
      <rgbColor rgb="FF993366"/>
      <rgbColor rgb="FFFFF7CC"/>
      <rgbColor rgb="FFE8EEF4"/>
      <rgbColor rgb="FF660066"/>
      <rgbColor rgb="FFFF8080"/>
      <rgbColor rgb="FF0066CC"/>
      <rgbColor rgb="FFC9D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CB"/>
      <rgbColor rgb="FF3366FF"/>
      <rgbColor rgb="FF33CCCC"/>
      <rgbColor rgb="FF99CC00"/>
      <rgbColor rgb="FFFFCC00"/>
      <rgbColor rgb="FFFF9900"/>
      <rgbColor rgb="FFFF6600"/>
      <rgbColor rgb="FF5A6472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 against X (edit the titles for your experiment)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"Measured points"</c:f>
              <c:strCache>
                <c:ptCount val="1"/>
                <c:pt idx="0">
                  <c:v>Measured points</c:v>
                </c:pt>
              </c:strCache>
            </c:strRef>
          </c:tx>
          <c:spPr>
            <a:solidFill>
              <a:srgbClr val="1b8a8f"/>
            </a:solidFill>
            <a:ln w="47520">
              <a:noFill/>
            </a:ln>
          </c:spPr>
          <c:marker>
            <c:symbol val="circle"/>
            <c:size val="9"/>
            <c:spPr>
              <a:solidFill>
                <a:srgbClr val="1b8a8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'Graph &amp; Fit'!$B$7:$B$22</c:f>
              <c:numCache>
                <c:formatCode>0.000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'Graph &amp; Fit'!$C$7:$C$22</c:f>
              <c:numCache>
                <c:formatCode>0.000</c:formatCode>
                <c:ptCount val="16"/>
                <c:pt idx="0">
                  <c:v>1.02</c:v>
                </c:pt>
                <c:pt idx="1">
                  <c:v>2.05</c:v>
                </c:pt>
                <c:pt idx="2">
                  <c:v>2.98</c:v>
                </c:pt>
                <c:pt idx="3">
                  <c:v>4.06</c:v>
                </c:pt>
                <c:pt idx="4">
                  <c:v>5.01</c:v>
                </c:pt>
                <c:pt idx="5">
                  <c:v>5.97</c:v>
                </c:pt>
                <c:pt idx="6">
                  <c:v>7.04</c:v>
                </c:pt>
                <c:pt idx="7">
                  <c:v>7.99</c:v>
                </c:pt>
              </c:numCache>
            </c:numRef>
          </c:yVal>
          <c:smooth val="1"/>
        </c:ser>
        <c:axId val="16130239"/>
        <c:axId val="43214335"/>
      </c:scatterChart>
      <c:valAx>
        <c:axId val="16130239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14335"/>
        <c:crosses val="autoZero"/>
        <c:crossBetween val="midCat"/>
      </c:valAx>
      <c:valAx>
        <c:axId val="432143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130239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17</xdr:col>
      <xdr:colOff>4320</xdr:colOff>
      <xdr:row>21</xdr:row>
      <xdr:rowOff>181080</xdr:rowOff>
    </xdr:to>
    <xdr:graphicFrame>
      <xdr:nvGraphicFramePr>
        <xdr:cNvPr id="0" name="Chart 1"/>
        <xdr:cNvGraphicFramePr/>
      </xdr:nvGraphicFramePr>
      <xdr:xfrm>
        <a:off x="7330320" y="895320"/>
        <a:ext cx="611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Electrical_Lab_Toolkit.xlsx" TargetMode="External"/><Relationship Id="rId2" Type="http://schemas.openxmlformats.org/officeDocument/2006/relationships/hyperlink" Target="Electrical_Lab_Toolkit.xlsx" TargetMode="External"/><Relationship Id="rId3" Type="http://schemas.openxmlformats.org/officeDocument/2006/relationships/hyperlink" Target="Electrical_Lab_Toolkit.xlsx" TargetMode="External"/><Relationship Id="rId4" Type="http://schemas.openxmlformats.org/officeDocument/2006/relationships/hyperlink" Target="Electrical_Lab_Toolkit.xlsx" TargetMode="External"/><Relationship Id="rId5" Type="http://schemas.openxmlformats.org/officeDocument/2006/relationships/hyperlink" Target="Electrical_Lab_Toolkit.xlsx" TargetMode="External"/><Relationship Id="rId6" Type="http://schemas.openxmlformats.org/officeDocument/2006/relationships/hyperlink" Target="Electrical_Lab_Toolkit.xlsx" TargetMode="External"/><Relationship Id="rId7" Type="http://schemas.openxmlformats.org/officeDocument/2006/relationships/hyperlink" Target="Electrical_Lab_Toolkit.xlsx" TargetMode="External"/><Relationship Id="rId8" Type="http://schemas.openxmlformats.org/officeDocument/2006/relationships/hyperlink" Target="Electrical_Lab_Toolkit.xlsx" TargetMode="External"/><Relationship Id="rId9" Type="http://schemas.openxmlformats.org/officeDocument/2006/relationships/hyperlink" Target="Electrical_Lab_Toolkit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  <col collapsed="false" customWidth="true" hidden="false" outlineLevel="0" max="3" min="3" style="0" width="20"/>
  </cols>
  <sheetData>
    <row r="1" customFormat="false" ht="33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  <c r="B11" s="4" t="s">
        <v>9</v>
      </c>
    </row>
    <row r="12" customFormat="false" ht="15" hidden="false" customHeight="false" outlineLevel="0" collapsed="false">
      <c r="A12" s="6" t="s">
        <v>10</v>
      </c>
      <c r="B12" s="4" t="s">
        <v>11</v>
      </c>
    </row>
    <row r="14" customFormat="false" ht="15" hidden="false" customHeight="false" outlineLevel="0" collapsed="false">
      <c r="A14" s="3" t="s">
        <v>12</v>
      </c>
    </row>
    <row r="15" customFormat="false" ht="15" hidden="false" customHeight="false" outlineLevel="0" collapsed="false">
      <c r="A15" s="7" t="s">
        <v>13</v>
      </c>
      <c r="B15" s="7" t="s">
        <v>14</v>
      </c>
      <c r="C15" s="7" t="s">
        <v>15</v>
      </c>
    </row>
    <row r="16" customFormat="false" ht="27.75" hidden="false" customHeight="true" outlineLevel="0" collapsed="false">
      <c r="A16" s="8" t="s">
        <v>16</v>
      </c>
      <c r="B16" s="9" t="s">
        <v>17</v>
      </c>
      <c r="C16" s="10" t="s">
        <v>18</v>
      </c>
    </row>
    <row r="17" customFormat="false" ht="27.75" hidden="false" customHeight="true" outlineLevel="0" collapsed="false">
      <c r="A17" s="8" t="s">
        <v>19</v>
      </c>
      <c r="B17" s="9" t="s">
        <v>20</v>
      </c>
      <c r="C17" s="10" t="s">
        <v>21</v>
      </c>
    </row>
    <row r="18" customFormat="false" ht="27.75" hidden="false" customHeight="true" outlineLevel="0" collapsed="false">
      <c r="A18" s="8" t="s">
        <v>22</v>
      </c>
      <c r="B18" s="9" t="s">
        <v>23</v>
      </c>
      <c r="C18" s="10" t="s">
        <v>24</v>
      </c>
    </row>
    <row r="19" customFormat="false" ht="27.75" hidden="false" customHeight="true" outlineLevel="0" collapsed="false">
      <c r="A19" s="8" t="s">
        <v>25</v>
      </c>
      <c r="B19" s="9" t="s">
        <v>26</v>
      </c>
      <c r="C19" s="10" t="s">
        <v>27</v>
      </c>
    </row>
    <row r="20" customFormat="false" ht="27.75" hidden="false" customHeight="true" outlineLevel="0" collapsed="false">
      <c r="A20" s="8" t="s">
        <v>28</v>
      </c>
      <c r="B20" s="9" t="s">
        <v>29</v>
      </c>
      <c r="C20" s="10" t="s">
        <v>30</v>
      </c>
    </row>
    <row r="21" customFormat="false" ht="27.75" hidden="false" customHeight="true" outlineLevel="0" collapsed="false">
      <c r="A21" s="8" t="s">
        <v>31</v>
      </c>
      <c r="B21" s="9" t="s">
        <v>32</v>
      </c>
      <c r="C21" s="10" t="s">
        <v>33</v>
      </c>
    </row>
    <row r="22" customFormat="false" ht="27.75" hidden="false" customHeight="true" outlineLevel="0" collapsed="false">
      <c r="A22" s="8" t="s">
        <v>34</v>
      </c>
      <c r="B22" s="9" t="s">
        <v>35</v>
      </c>
      <c r="C22" s="10" t="s">
        <v>36</v>
      </c>
    </row>
    <row r="23" customFormat="false" ht="27.75" hidden="false" customHeight="true" outlineLevel="0" collapsed="false">
      <c r="A23" s="8" t="s">
        <v>37</v>
      </c>
      <c r="B23" s="9" t="s">
        <v>38</v>
      </c>
      <c r="C23" s="10" t="s">
        <v>39</v>
      </c>
    </row>
    <row r="24" customFormat="false" ht="27.75" hidden="false" customHeight="true" outlineLevel="0" collapsed="false">
      <c r="A24" s="8" t="s">
        <v>40</v>
      </c>
      <c r="B24" s="9" t="s">
        <v>41</v>
      </c>
      <c r="C24" s="10" t="s">
        <v>42</v>
      </c>
    </row>
    <row r="26" customFormat="false" ht="15" hidden="false" customHeight="false" outlineLevel="0" collapsed="false">
      <c r="A26" s="3" t="s">
        <v>43</v>
      </c>
    </row>
    <row r="27" customFormat="false" ht="15" hidden="false" customHeight="false" outlineLevel="0" collapsed="false">
      <c r="A27" s="11" t="s">
        <v>44</v>
      </c>
    </row>
    <row r="28" customFormat="false" ht="15" hidden="false" customHeight="false" outlineLevel="0" collapsed="false">
      <c r="A28" s="11" t="s">
        <v>45</v>
      </c>
    </row>
    <row r="29" customFormat="false" ht="15" hidden="false" customHeight="false" outlineLevel="0" collapsed="false">
      <c r="A29" s="11" t="s">
        <v>46</v>
      </c>
    </row>
    <row r="30" customFormat="false" ht="15" hidden="false" customHeight="false" outlineLevel="0" collapsed="false">
      <c r="A30" s="11" t="s">
        <v>47</v>
      </c>
    </row>
    <row r="31" customFormat="false" ht="15" hidden="false" customHeight="false" outlineLevel="0" collapsed="false">
      <c r="A31" s="11" t="s">
        <v>48</v>
      </c>
    </row>
    <row r="32" customFormat="false" ht="15" hidden="false" customHeight="false" outlineLevel="0" collapsed="false">
      <c r="A32" s="11" t="s">
        <v>49</v>
      </c>
    </row>
    <row r="34" customFormat="false" ht="15" hidden="false" customHeight="false" outlineLevel="0" collapsed="false">
      <c r="A34" s="12" t="s">
        <v>50</v>
      </c>
    </row>
  </sheetData>
  <hyperlinks>
    <hyperlink ref="A16" r:id="rId1" location="'Error%20Analysis'!A1" display="Error Analysis"/>
    <hyperlink ref="A17" r:id="rId2" location="'Compare%20Table'!A1" display="Compare Table"/>
    <hyperlink ref="A18" r:id="rId3" location="'Ohm%20&amp;%20Power'!A1" display="Ohm &amp; Power"/>
    <hyperlink ref="A19" r:id="rId4" location="'Op-Amp'!A1" display="Op-Amp"/>
    <hyperlink ref="A20" r:id="rId5" location="'Machines'!A1" display="Machines"/>
    <hyperlink ref="A21" r:id="rId6" location="'AC%20&amp;%203-Phase'!A1" display="AC &amp; 3-Phase"/>
    <hyperlink ref="A22" r:id="rId7" location="'Resistor%20Code'!A1" display="Resistor Code"/>
    <hyperlink ref="A23" r:id="rId8" location="'Graph%20&amp;%20Fit'!A1" display="Graph &amp; Fit"/>
    <hyperlink ref="A24" r:id="rId9" location="'Unit%20Converter'!A1" display="Unit Convert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3" t="s">
        <v>16</v>
      </c>
    </row>
    <row r="2" customFormat="false" ht="15" hidden="false" customHeight="false" outlineLevel="0" collapsed="false">
      <c r="A2" s="14" t="s">
        <v>51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53</v>
      </c>
      <c r="B5" s="7"/>
      <c r="C5" s="7"/>
      <c r="D5" s="7"/>
    </row>
    <row r="6" customFormat="false" ht="15" hidden="false" customHeight="false" outlineLevel="0" collapsed="false">
      <c r="A6" s="4" t="s">
        <v>54</v>
      </c>
      <c r="B6" s="15" t="n">
        <v>4.98</v>
      </c>
      <c r="C6" s="11"/>
      <c r="D6" s="10" t="s">
        <v>55</v>
      </c>
    </row>
    <row r="7" customFormat="false" ht="15" hidden="false" customHeight="false" outlineLevel="0" collapsed="false">
      <c r="A7" s="4" t="s">
        <v>56</v>
      </c>
      <c r="B7" s="15" t="n">
        <v>5.02</v>
      </c>
      <c r="C7" s="11"/>
    </row>
    <row r="8" customFormat="false" ht="15" hidden="false" customHeight="false" outlineLevel="0" collapsed="false">
      <c r="A8" s="4" t="s">
        <v>57</v>
      </c>
      <c r="B8" s="15" t="n">
        <v>5.01</v>
      </c>
      <c r="C8" s="11"/>
    </row>
    <row r="9" customFormat="false" ht="15" hidden="false" customHeight="false" outlineLevel="0" collapsed="false">
      <c r="A9" s="4" t="s">
        <v>58</v>
      </c>
      <c r="B9" s="15" t="n">
        <v>4.97</v>
      </c>
      <c r="C9" s="11"/>
    </row>
    <row r="10" customFormat="false" ht="15" hidden="false" customHeight="false" outlineLevel="0" collapsed="false">
      <c r="A10" s="4" t="s">
        <v>59</v>
      </c>
      <c r="B10" s="15" t="n">
        <v>5.03</v>
      </c>
      <c r="C10" s="11"/>
    </row>
    <row r="11" customFormat="false" ht="15" hidden="false" customHeight="false" outlineLevel="0" collapsed="false">
      <c r="A11" s="4" t="s">
        <v>60</v>
      </c>
      <c r="B11" s="15" t="n">
        <v>5</v>
      </c>
      <c r="C11" s="11"/>
    </row>
    <row r="12" customFormat="false" ht="15" hidden="false" customHeight="false" outlineLevel="0" collapsed="false">
      <c r="A12" s="4" t="s">
        <v>61</v>
      </c>
      <c r="B12" s="15" t="n">
        <v>5.02</v>
      </c>
      <c r="C12" s="11"/>
    </row>
    <row r="13" customFormat="false" ht="15" hidden="false" customHeight="false" outlineLevel="0" collapsed="false">
      <c r="A13" s="4" t="s">
        <v>62</v>
      </c>
      <c r="B13" s="15" t="n">
        <v>4.99</v>
      </c>
      <c r="C13" s="11"/>
    </row>
    <row r="14" customFormat="false" ht="15" hidden="false" customHeight="false" outlineLevel="0" collapsed="false">
      <c r="A14" s="4" t="s">
        <v>63</v>
      </c>
      <c r="B14" s="15"/>
      <c r="C14" s="11"/>
    </row>
    <row r="15" customFormat="false" ht="15" hidden="false" customHeight="false" outlineLevel="0" collapsed="false">
      <c r="A15" s="4" t="s">
        <v>64</v>
      </c>
      <c r="B15" s="15"/>
      <c r="C15" s="11"/>
    </row>
    <row r="17" customFormat="false" ht="15" hidden="false" customHeight="false" outlineLevel="0" collapsed="false">
      <c r="A17" s="7" t="s">
        <v>65</v>
      </c>
      <c r="B17" s="7"/>
      <c r="C17" s="7"/>
      <c r="D17" s="7"/>
    </row>
    <row r="18" customFormat="false" ht="15" hidden="false" customHeight="false" outlineLevel="0" collapsed="false">
      <c r="A18" s="4" t="s">
        <v>66</v>
      </c>
      <c r="B18" s="15" t="n">
        <v>5</v>
      </c>
      <c r="C18" s="11" t="s">
        <v>67</v>
      </c>
      <c r="D18" s="10" t="s">
        <v>68</v>
      </c>
    </row>
    <row r="19" customFormat="false" ht="15" hidden="false" customHeight="false" outlineLevel="0" collapsed="false">
      <c r="A19" s="4" t="s">
        <v>69</v>
      </c>
      <c r="B19" s="15" t="n">
        <v>0.05</v>
      </c>
      <c r="C19" s="11" t="s">
        <v>67</v>
      </c>
      <c r="D19" s="10" t="s">
        <v>70</v>
      </c>
    </row>
    <row r="21" customFormat="false" ht="15" hidden="false" customHeight="false" outlineLevel="0" collapsed="false">
      <c r="A21" s="7" t="s">
        <v>71</v>
      </c>
      <c r="B21" s="7"/>
      <c r="C21" s="7"/>
      <c r="D21" s="7"/>
    </row>
    <row r="22" customFormat="false" ht="15" hidden="false" customHeight="false" outlineLevel="0" collapsed="false">
      <c r="A22" s="4" t="s">
        <v>72</v>
      </c>
      <c r="B22" s="16" t="n">
        <f aca="false">COUNT(B6:B15)</f>
        <v>8</v>
      </c>
      <c r="C22" s="11"/>
    </row>
    <row r="23" customFormat="false" ht="15" hidden="false" customHeight="false" outlineLevel="0" collapsed="false">
      <c r="A23" s="4" t="s">
        <v>73</v>
      </c>
      <c r="B23" s="17" t="n">
        <f aca="false">IF(B22=0,"",AVERAGE(B6:B15))</f>
        <v>5.0025</v>
      </c>
      <c r="C23" s="11"/>
      <c r="D23" s="10" t="s">
        <v>74</v>
      </c>
    </row>
    <row r="24" customFormat="false" ht="15" hidden="false" customHeight="false" outlineLevel="0" collapsed="false">
      <c r="A24" s="4" t="s">
        <v>75</v>
      </c>
      <c r="B24" s="17" t="n">
        <f aca="false">IF(B22&lt;2,"",STDEV(B6:B15))</f>
        <v>0.0212132034355963</v>
      </c>
      <c r="C24" s="11"/>
      <c r="D24" s="10" t="s">
        <v>76</v>
      </c>
    </row>
    <row r="25" customFormat="false" ht="15" hidden="false" customHeight="false" outlineLevel="0" collapsed="false">
      <c r="A25" s="4" t="s">
        <v>77</v>
      </c>
      <c r="B25" s="17" t="n">
        <f aca="false">IF(B22&lt;2,"",B24/SQRT(B22))</f>
        <v>0.00749999999999997</v>
      </c>
      <c r="C25" s="11"/>
      <c r="D25" s="10" t="s">
        <v>78</v>
      </c>
    </row>
    <row r="26" customFormat="false" ht="15" hidden="false" customHeight="false" outlineLevel="0" collapsed="false">
      <c r="A26" s="4" t="s">
        <v>79</v>
      </c>
      <c r="B26" s="18" t="n">
        <f aca="false">IF(B22=0,"",MIN(B6:B15))</f>
        <v>4.97</v>
      </c>
      <c r="C26" s="11"/>
    </row>
    <row r="27" customFormat="false" ht="15" hidden="false" customHeight="false" outlineLevel="0" collapsed="false">
      <c r="A27" s="4" t="s">
        <v>80</v>
      </c>
      <c r="B27" s="18" t="n">
        <f aca="false">IF(B22=0,"",MAX(B6:B15))</f>
        <v>5.03</v>
      </c>
      <c r="C27" s="11"/>
    </row>
    <row r="28" customFormat="false" ht="15" hidden="false" customHeight="false" outlineLevel="0" collapsed="false">
      <c r="A28" s="4" t="s">
        <v>81</v>
      </c>
      <c r="B28" s="18" t="n">
        <f aca="false">IF(B22=0,"",B27-B26)</f>
        <v>0.0600000000000005</v>
      </c>
      <c r="C28" s="11"/>
    </row>
    <row r="29" customFormat="false" ht="15" hidden="false" customHeight="false" outlineLevel="0" collapsed="false">
      <c r="A29" s="4" t="s">
        <v>82</v>
      </c>
      <c r="B29" s="17" t="n">
        <f aca="false">IF(OR(B22=0,B18=""),"",ABS(B23-B18))</f>
        <v>0.0024999999999995</v>
      </c>
      <c r="C29" s="11"/>
      <c r="D29" s="10" t="s">
        <v>83</v>
      </c>
    </row>
    <row r="30" customFormat="false" ht="15" hidden="false" customHeight="false" outlineLevel="0" collapsed="false">
      <c r="A30" s="4" t="s">
        <v>84</v>
      </c>
      <c r="B30" s="19" t="n">
        <f aca="false">IF(OR(B22=0,B18="",B18=0),"",B29/ABS(B18)*100)</f>
        <v>0.04999999999999</v>
      </c>
      <c r="C30" s="11" t="s">
        <v>85</v>
      </c>
      <c r="D30" s="10" t="s">
        <v>86</v>
      </c>
    </row>
    <row r="31" customFormat="false" ht="15" hidden="false" customHeight="false" outlineLevel="0" collapsed="false">
      <c r="A31" s="4" t="s">
        <v>87</v>
      </c>
      <c r="B31" s="20" t="str">
        <f aca="false">IF(B22&lt;2,"",ROUND(B23,3)&amp;" +/- "&amp;ROUND(B25,3))</f>
        <v>5.003 +/- 0.007</v>
      </c>
      <c r="C31" s="11"/>
      <c r="D31" s="10" t="s">
        <v>88</v>
      </c>
    </row>
    <row r="32" customFormat="false" ht="15" hidden="false" customHeight="false" outlineLevel="0" collapsed="false">
      <c r="A32" s="4" t="s">
        <v>89</v>
      </c>
      <c r="B32" s="20" t="str">
        <f aca="false">IF(OR(B29="",B19=""),"",IF(B29&lt;=B19,"Yes","No"))</f>
        <v>Yes</v>
      </c>
      <c r="C32" s="11"/>
      <c r="D32" s="10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4"/>
    <col collapsed="false" customWidth="true" hidden="false" outlineLevel="0" max="7" min="7" style="0" width="30"/>
  </cols>
  <sheetData>
    <row r="1" customFormat="false" ht="25.5" hidden="false" customHeight="true" outlineLevel="0" collapsed="false">
      <c r="A1" s="13" t="s">
        <v>19</v>
      </c>
    </row>
    <row r="2" customFormat="false" ht="15" hidden="false" customHeight="false" outlineLevel="0" collapsed="false">
      <c r="A2" s="14" t="s">
        <v>91</v>
      </c>
    </row>
    <row r="3" customFormat="false" ht="15" hidden="false" customHeight="false" outlineLevel="0" collapsed="false">
      <c r="A3" s="11" t="s">
        <v>52</v>
      </c>
    </row>
    <row r="4" customFormat="false" ht="15" hidden="false" customHeight="false" outlineLevel="0" collapsed="false">
      <c r="A4" s="4" t="s">
        <v>92</v>
      </c>
      <c r="C4" s="21" t="n">
        <v>5</v>
      </c>
      <c r="D4" s="11" t="s">
        <v>93</v>
      </c>
    </row>
    <row r="6" customFormat="false" ht="15" hidden="false" customHeight="false" outlineLevel="0" collapsed="false">
      <c r="A6" s="22" t="s">
        <v>94</v>
      </c>
      <c r="B6" s="22" t="s">
        <v>95</v>
      </c>
      <c r="C6" s="22" t="s">
        <v>96</v>
      </c>
      <c r="D6" s="22" t="s">
        <v>97</v>
      </c>
      <c r="E6" s="22" t="s">
        <v>98</v>
      </c>
      <c r="G6" s="12" t="s">
        <v>99</v>
      </c>
    </row>
    <row r="7" customFormat="false" ht="15" hidden="false" customHeight="false" outlineLevel="0" collapsed="false">
      <c r="A7" s="23" t="n">
        <v>1</v>
      </c>
      <c r="B7" s="15" t="n">
        <v>4.98</v>
      </c>
      <c r="C7" s="15" t="n">
        <v>5</v>
      </c>
      <c r="D7" s="17" t="n">
        <f aca="false">IF(OR(B7="",C7=""),"",ABS(B7-C7))</f>
        <v>0.0199999999999996</v>
      </c>
      <c r="E7" s="19" t="n">
        <f aca="false">IF(OR(B7="",C7="",C7=0),"",D7/ABS(C7)*100)</f>
        <v>0.399999999999992</v>
      </c>
      <c r="G7" s="11" t="s">
        <v>100</v>
      </c>
    </row>
    <row r="8" customFormat="false" ht="15" hidden="false" customHeight="false" outlineLevel="0" collapsed="false">
      <c r="A8" s="23" t="n">
        <v>2</v>
      </c>
      <c r="B8" s="15" t="n">
        <v>9.87</v>
      </c>
      <c r="C8" s="15" t="n">
        <v>10</v>
      </c>
      <c r="D8" s="17" t="n">
        <f aca="false">IF(OR(B8="",C8=""),"",ABS(B8-C8))</f>
        <v>0.130000000000001</v>
      </c>
      <c r="E8" s="19" t="n">
        <f aca="false">IF(OR(B8="",C8="",C8=0),"",D8/ABS(C8)*100)</f>
        <v>1.30000000000001</v>
      </c>
      <c r="G8" s="11" t="s">
        <v>101</v>
      </c>
    </row>
    <row r="9" customFormat="false" ht="15" hidden="false" customHeight="false" outlineLevel="0" collapsed="false">
      <c r="A9" s="23" t="n">
        <v>3</v>
      </c>
      <c r="B9" s="15" t="n">
        <v>14.6</v>
      </c>
      <c r="C9" s="15" t="n">
        <v>15</v>
      </c>
      <c r="D9" s="17" t="n">
        <f aca="false">IF(OR(B9="",C9=""),"",ABS(B9-C9))</f>
        <v>0.4</v>
      </c>
      <c r="E9" s="19" t="n">
        <f aca="false">IF(OR(B9="",C9="",C9=0),"",D9/ABS(C9)*100)</f>
        <v>2.66666666666667</v>
      </c>
    </row>
    <row r="10" customFormat="false" ht="15" hidden="false" customHeight="false" outlineLevel="0" collapsed="false">
      <c r="A10" s="23" t="n">
        <v>4</v>
      </c>
      <c r="B10" s="15" t="n">
        <v>19.5</v>
      </c>
      <c r="C10" s="15" t="n">
        <v>20</v>
      </c>
      <c r="D10" s="17" t="n">
        <f aca="false">IF(OR(B10="",C10=""),"",ABS(B10-C10))</f>
        <v>0.5</v>
      </c>
      <c r="E10" s="19" t="n">
        <f aca="false">IF(OR(B10="",C10="",C10=0),"",D10/ABS(C10)*100)</f>
        <v>2.5</v>
      </c>
    </row>
    <row r="11" customFormat="false" ht="15" hidden="false" customHeight="false" outlineLevel="0" collapsed="false">
      <c r="A11" s="23" t="n">
        <v>5</v>
      </c>
      <c r="B11" s="15" t="n">
        <v>23.6</v>
      </c>
      <c r="C11" s="15" t="n">
        <v>25</v>
      </c>
      <c r="D11" s="17" t="n">
        <f aca="false">IF(OR(B11="",C11=""),"",ABS(B11-C11))</f>
        <v>1.4</v>
      </c>
      <c r="E11" s="19" t="n">
        <f aca="false">IF(OR(B11="",C11="",C11=0),"",D11/ABS(C11)*100)</f>
        <v>5.59999999999999</v>
      </c>
    </row>
    <row r="12" customFormat="false" ht="15" hidden="false" customHeight="false" outlineLevel="0" collapsed="false">
      <c r="A12" s="23" t="n">
        <v>6</v>
      </c>
      <c r="B12" s="15"/>
      <c r="C12" s="15"/>
      <c r="D12" s="17" t="str">
        <f aca="false">IF(OR(B12="",C12=""),"",ABS(B12-C12))</f>
        <v/>
      </c>
      <c r="E12" s="19" t="str">
        <f aca="false">IF(OR(B12="",C12="",C12=0),"",D12/ABS(C12)*100)</f>
        <v/>
      </c>
    </row>
    <row r="13" customFormat="false" ht="15" hidden="false" customHeight="false" outlineLevel="0" collapsed="false">
      <c r="A13" s="23" t="n">
        <v>7</v>
      </c>
      <c r="B13" s="15"/>
      <c r="C13" s="15"/>
      <c r="D13" s="17" t="str">
        <f aca="false">IF(OR(B13="",C13=""),"",ABS(B13-C13))</f>
        <v/>
      </c>
      <c r="E13" s="19" t="str">
        <f aca="false">IF(OR(B13="",C13="",C13=0),"",D13/ABS(C13)*100)</f>
        <v/>
      </c>
    </row>
    <row r="14" customFormat="false" ht="15" hidden="false" customHeight="false" outlineLevel="0" collapsed="false">
      <c r="A14" s="23" t="n">
        <v>8</v>
      </c>
      <c r="B14" s="15"/>
      <c r="C14" s="15"/>
      <c r="D14" s="17" t="str">
        <f aca="false">IF(OR(B14="",C14=""),"",ABS(B14-C14))</f>
        <v/>
      </c>
      <c r="E14" s="19" t="str">
        <f aca="false">IF(OR(B14="",C14="",C14=0),"",D14/ABS(C14)*100)</f>
        <v/>
      </c>
    </row>
    <row r="15" customFormat="false" ht="15" hidden="false" customHeight="false" outlineLevel="0" collapsed="false">
      <c r="A15" s="23" t="n">
        <v>9</v>
      </c>
      <c r="B15" s="15"/>
      <c r="C15" s="15"/>
      <c r="D15" s="17" t="str">
        <f aca="false">IF(OR(B15="",C15=""),"",ABS(B15-C15))</f>
        <v/>
      </c>
      <c r="E15" s="19" t="str">
        <f aca="false">IF(OR(B15="",C15="",C15=0),"",D15/ABS(C15)*100)</f>
        <v/>
      </c>
    </row>
    <row r="16" customFormat="false" ht="15" hidden="false" customHeight="false" outlineLevel="0" collapsed="false">
      <c r="A16" s="23" t="n">
        <v>10</v>
      </c>
      <c r="B16" s="15"/>
      <c r="C16" s="15"/>
      <c r="D16" s="17" t="str">
        <f aca="false">IF(OR(B16="",C16=""),"",ABS(B16-C16))</f>
        <v/>
      </c>
      <c r="E16" s="19" t="str">
        <f aca="false">IF(OR(B16="",C16="",C16=0),"",D16/ABS(C16)*100)</f>
        <v/>
      </c>
    </row>
    <row r="17" customFormat="false" ht="15" hidden="false" customHeight="false" outlineLevel="0" collapsed="false">
      <c r="A17" s="23" t="n">
        <v>11</v>
      </c>
      <c r="B17" s="15"/>
      <c r="C17" s="15"/>
      <c r="D17" s="17" t="str">
        <f aca="false">IF(OR(B17="",C17=""),"",ABS(B17-C17))</f>
        <v/>
      </c>
      <c r="E17" s="19" t="str">
        <f aca="false">IF(OR(B17="",C17="",C17=0),"",D17/ABS(C17)*100)</f>
        <v/>
      </c>
    </row>
    <row r="18" customFormat="false" ht="15" hidden="false" customHeight="false" outlineLevel="0" collapsed="false">
      <c r="A18" s="23" t="n">
        <v>12</v>
      </c>
      <c r="B18" s="15"/>
      <c r="C18" s="15"/>
      <c r="D18" s="17" t="str">
        <f aca="false">IF(OR(B18="",C18=""),"",ABS(B18-C18))</f>
        <v/>
      </c>
      <c r="E18" s="19" t="str">
        <f aca="false">IF(OR(B18="",C18="",C18=0),"",D18/ABS(C18)*100)</f>
        <v/>
      </c>
    </row>
    <row r="19" customFormat="false" ht="15" hidden="false" customHeight="false" outlineLevel="0" collapsed="false">
      <c r="A19" s="23" t="n">
        <v>13</v>
      </c>
      <c r="B19" s="15"/>
      <c r="C19" s="15"/>
      <c r="D19" s="17" t="str">
        <f aca="false">IF(OR(B19="",C19=""),"",ABS(B19-C19))</f>
        <v/>
      </c>
      <c r="E19" s="19" t="str">
        <f aca="false">IF(OR(B19="",C19="",C19=0),"",D19/ABS(C19)*100)</f>
        <v/>
      </c>
    </row>
    <row r="20" customFormat="false" ht="15" hidden="false" customHeight="false" outlineLevel="0" collapsed="false">
      <c r="A20" s="23" t="n">
        <v>14</v>
      </c>
      <c r="B20" s="15"/>
      <c r="C20" s="15"/>
      <c r="D20" s="17" t="str">
        <f aca="false">IF(OR(B20="",C20=""),"",ABS(B20-C20))</f>
        <v/>
      </c>
      <c r="E20" s="19" t="str">
        <f aca="false">IF(OR(B20="",C20="",C20=0),"",D20/ABS(C20)*100)</f>
        <v/>
      </c>
    </row>
    <row r="21" customFormat="false" ht="15" hidden="false" customHeight="false" outlineLevel="0" collapsed="false">
      <c r="A21" s="23" t="n">
        <v>15</v>
      </c>
      <c r="B21" s="15"/>
      <c r="C21" s="15"/>
      <c r="D21" s="17" t="str">
        <f aca="false">IF(OR(B21="",C21=""),"",ABS(B21-C21))</f>
        <v/>
      </c>
      <c r="E21" s="19" t="str">
        <f aca="false">IF(OR(B21="",C21="",C21=0),"",D21/ABS(C21)*100)</f>
        <v/>
      </c>
    </row>
    <row r="23" customFormat="false" ht="15" hidden="false" customHeight="false" outlineLevel="0" collapsed="false">
      <c r="A23" s="7" t="s">
        <v>102</v>
      </c>
      <c r="B23" s="7"/>
      <c r="C23" s="7"/>
      <c r="D23" s="7"/>
      <c r="E23" s="7"/>
    </row>
    <row r="24" customFormat="false" ht="15" hidden="false" customHeight="false" outlineLevel="0" collapsed="false">
      <c r="A24" s="4" t="s">
        <v>103</v>
      </c>
      <c r="C24" s="16" t="n">
        <f aca="false">COUNT(E7:E21)</f>
        <v>5</v>
      </c>
    </row>
    <row r="25" customFormat="false" ht="15" hidden="false" customHeight="false" outlineLevel="0" collapsed="false">
      <c r="A25" s="4" t="s">
        <v>104</v>
      </c>
      <c r="C25" s="17" t="n">
        <f aca="false">IFERROR(AVERAGE(D7:D21),"")</f>
        <v>0.49</v>
      </c>
    </row>
    <row r="26" customFormat="false" ht="15" hidden="false" customHeight="false" outlineLevel="0" collapsed="false">
      <c r="A26" s="4" t="s">
        <v>105</v>
      </c>
      <c r="C26" s="19" t="n">
        <f aca="false">IFERROR(AVERAGE(E7:E21),"")</f>
        <v>2.49333333333333</v>
      </c>
    </row>
    <row r="27" customFormat="false" ht="15" hidden="false" customHeight="false" outlineLevel="0" collapsed="false">
      <c r="A27" s="4" t="s">
        <v>106</v>
      </c>
      <c r="C27" s="19" t="n">
        <f aca="false">IFERROR(MAX(E7:E21),"")</f>
        <v>5.59999999999999</v>
      </c>
    </row>
    <row r="28" customFormat="false" ht="15" hidden="false" customHeight="false" outlineLevel="0" collapsed="false">
      <c r="A28" s="4" t="s">
        <v>107</v>
      </c>
      <c r="C28" s="16" t="n">
        <f aca="false">IFERROR(INDEX(A7:A21,MATCH(MAX(E7:E21),E7:E21,0)),"")</f>
        <v>5</v>
      </c>
    </row>
    <row r="29" customFormat="false" ht="15" hidden="false" customHeight="false" outlineLevel="0" collapsed="false">
      <c r="A29" s="4" t="s">
        <v>108</v>
      </c>
      <c r="C29" s="16" t="n">
        <f aca="false">COUNTIF(E7:E21,"&gt;"&amp;C4)</f>
        <v>1</v>
      </c>
    </row>
  </sheetData>
  <conditionalFormatting sqref="E7:E21">
    <cfRule type="expression" priority="2" aboveAverage="0" equalAverage="0" bottom="0" percent="0" rank="0" text="" dxfId="0">
      <formula>AND(ISNUMBER($E7),$E7&gt;$C$4)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3" t="s">
        <v>22</v>
      </c>
    </row>
    <row r="2" customFormat="false" ht="15" hidden="false" customHeight="false" outlineLevel="0" collapsed="false">
      <c r="A2" s="14" t="s">
        <v>109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110</v>
      </c>
      <c r="B5" s="7"/>
      <c r="C5" s="7"/>
      <c r="D5" s="7"/>
    </row>
    <row r="6" customFormat="false" ht="15" hidden="false" customHeight="false" outlineLevel="0" collapsed="false">
      <c r="A6" s="4" t="s">
        <v>111</v>
      </c>
      <c r="B6" s="21" t="n">
        <v>12</v>
      </c>
      <c r="C6" s="11" t="s">
        <v>112</v>
      </c>
    </row>
    <row r="7" customFormat="false" ht="15" hidden="false" customHeight="false" outlineLevel="0" collapsed="false">
      <c r="A7" s="4" t="s">
        <v>113</v>
      </c>
      <c r="B7" s="21" t="n">
        <v>470</v>
      </c>
      <c r="C7" s="11" t="s">
        <v>114</v>
      </c>
    </row>
    <row r="8" customFormat="false" ht="15" hidden="false" customHeight="false" outlineLevel="0" collapsed="false">
      <c r="A8" s="4" t="s">
        <v>115</v>
      </c>
      <c r="B8" s="17" t="n">
        <f aca="false">IFERROR(B6/B7,"")</f>
        <v>0.025531914893617</v>
      </c>
      <c r="C8" s="11" t="s">
        <v>116</v>
      </c>
      <c r="D8" s="10" t="s">
        <v>117</v>
      </c>
    </row>
    <row r="9" customFormat="false" ht="15" hidden="false" customHeight="false" outlineLevel="0" collapsed="false">
      <c r="A9" s="4" t="s">
        <v>118</v>
      </c>
      <c r="B9" s="17" t="n">
        <f aca="false">IFERROR(B6^2/B7,"")</f>
        <v>0.306382978723404</v>
      </c>
      <c r="C9" s="11" t="s">
        <v>119</v>
      </c>
      <c r="D9" s="10" t="s">
        <v>120</v>
      </c>
    </row>
    <row r="11" customFormat="false" ht="15" hidden="false" customHeight="false" outlineLevel="0" collapsed="false">
      <c r="A11" s="7" t="s">
        <v>121</v>
      </c>
      <c r="B11" s="7"/>
      <c r="C11" s="7"/>
      <c r="D11" s="7"/>
    </row>
    <row r="12" customFormat="false" ht="15" hidden="false" customHeight="false" outlineLevel="0" collapsed="false">
      <c r="A12" s="4" t="s">
        <v>111</v>
      </c>
      <c r="B12" s="21" t="n">
        <v>5</v>
      </c>
      <c r="C12" s="11" t="s">
        <v>112</v>
      </c>
    </row>
    <row r="13" customFormat="false" ht="15" hidden="false" customHeight="false" outlineLevel="0" collapsed="false">
      <c r="A13" s="4" t="s">
        <v>115</v>
      </c>
      <c r="B13" s="21" t="n">
        <v>0.02</v>
      </c>
      <c r="C13" s="11" t="s">
        <v>116</v>
      </c>
    </row>
    <row r="14" customFormat="false" ht="15" hidden="false" customHeight="false" outlineLevel="0" collapsed="false">
      <c r="A14" s="4" t="s">
        <v>113</v>
      </c>
      <c r="B14" s="19" t="n">
        <f aca="false">IFERROR(B12/B13,"")</f>
        <v>250</v>
      </c>
      <c r="C14" s="11" t="s">
        <v>114</v>
      </c>
      <c r="D14" s="10" t="s">
        <v>122</v>
      </c>
    </row>
    <row r="15" customFormat="false" ht="15" hidden="false" customHeight="false" outlineLevel="0" collapsed="false">
      <c r="A15" s="4" t="s">
        <v>118</v>
      </c>
      <c r="B15" s="17" t="n">
        <f aca="false">IFERROR(B12*B13,"")</f>
        <v>0.1</v>
      </c>
      <c r="C15" s="11" t="s">
        <v>119</v>
      </c>
      <c r="D15" s="10" t="s">
        <v>123</v>
      </c>
    </row>
    <row r="17" customFormat="false" ht="15" hidden="false" customHeight="false" outlineLevel="0" collapsed="false">
      <c r="A17" s="7" t="s">
        <v>124</v>
      </c>
      <c r="B17" s="7"/>
      <c r="C17" s="7"/>
      <c r="D17" s="7"/>
    </row>
    <row r="18" customFormat="false" ht="15" hidden="false" customHeight="false" outlineLevel="0" collapsed="false">
      <c r="A18" s="4" t="s">
        <v>118</v>
      </c>
      <c r="B18" s="21" t="n">
        <v>60</v>
      </c>
      <c r="C18" s="11" t="s">
        <v>119</v>
      </c>
    </row>
    <row r="19" customFormat="false" ht="15" hidden="false" customHeight="false" outlineLevel="0" collapsed="false">
      <c r="A19" s="4" t="s">
        <v>111</v>
      </c>
      <c r="B19" s="21" t="n">
        <v>230</v>
      </c>
      <c r="C19" s="11" t="s">
        <v>112</v>
      </c>
    </row>
    <row r="20" customFormat="false" ht="15" hidden="false" customHeight="false" outlineLevel="0" collapsed="false">
      <c r="A20" s="4" t="s">
        <v>115</v>
      </c>
      <c r="B20" s="17" t="n">
        <f aca="false">IFERROR(B18/B19,"")</f>
        <v>0.260869565217391</v>
      </c>
      <c r="C20" s="11" t="s">
        <v>116</v>
      </c>
      <c r="D20" s="10" t="s">
        <v>125</v>
      </c>
    </row>
    <row r="21" customFormat="false" ht="15" hidden="false" customHeight="false" outlineLevel="0" collapsed="false">
      <c r="A21" s="4" t="s">
        <v>113</v>
      </c>
      <c r="B21" s="19" t="n">
        <f aca="false">IFERROR(B19^2/B18,"")</f>
        <v>881.666666666667</v>
      </c>
      <c r="C21" s="11" t="s">
        <v>114</v>
      </c>
      <c r="D21" s="10" t="s">
        <v>126</v>
      </c>
    </row>
    <row r="23" customFormat="false" ht="15" hidden="false" customHeight="false" outlineLevel="0" collapsed="false">
      <c r="A23" s="7" t="s">
        <v>127</v>
      </c>
      <c r="B23" s="7"/>
      <c r="C23" s="7"/>
      <c r="D23" s="7"/>
    </row>
    <row r="24" customFormat="false" ht="15" hidden="false" customHeight="false" outlineLevel="0" collapsed="false">
      <c r="A24" s="4" t="s">
        <v>128</v>
      </c>
      <c r="B24" s="24" t="n">
        <v>1000</v>
      </c>
      <c r="C24" s="11" t="s">
        <v>114</v>
      </c>
    </row>
    <row r="25" customFormat="false" ht="15" hidden="false" customHeight="false" outlineLevel="0" collapsed="false">
      <c r="A25" s="4" t="s">
        <v>129</v>
      </c>
      <c r="B25" s="24" t="n">
        <v>2200</v>
      </c>
      <c r="C25" s="11" t="s">
        <v>114</v>
      </c>
    </row>
    <row r="26" customFormat="false" ht="15" hidden="false" customHeight="false" outlineLevel="0" collapsed="false">
      <c r="A26" s="4" t="s">
        <v>130</v>
      </c>
      <c r="B26" s="24" t="n">
        <v>4700</v>
      </c>
      <c r="C26" s="11" t="s">
        <v>114</v>
      </c>
    </row>
    <row r="27" customFormat="false" ht="15" hidden="false" customHeight="false" outlineLevel="0" collapsed="false">
      <c r="A27" s="4" t="s">
        <v>131</v>
      </c>
      <c r="B27" s="24"/>
      <c r="C27" s="11" t="s">
        <v>114</v>
      </c>
    </row>
    <row r="28" customFormat="false" ht="15" hidden="false" customHeight="false" outlineLevel="0" collapsed="false">
      <c r="A28" s="4" t="s">
        <v>132</v>
      </c>
      <c r="B28" s="24"/>
      <c r="C28" s="11" t="s">
        <v>114</v>
      </c>
    </row>
    <row r="29" customFormat="false" ht="15" hidden="false" customHeight="false" outlineLevel="0" collapsed="false">
      <c r="A29" s="4" t="s">
        <v>133</v>
      </c>
      <c r="B29" s="24"/>
      <c r="C29" s="11" t="s">
        <v>114</v>
      </c>
    </row>
    <row r="30" customFormat="false" ht="15" hidden="false" customHeight="false" outlineLevel="0" collapsed="false">
      <c r="A30" s="4" t="s">
        <v>134</v>
      </c>
      <c r="B30" s="25" t="n">
        <f aca="false">IF(COUNT(B24:B29)=0,"",SUM(B24:B29))</f>
        <v>7900</v>
      </c>
      <c r="C30" s="11" t="s">
        <v>114</v>
      </c>
      <c r="D30" s="10" t="s">
        <v>135</v>
      </c>
    </row>
    <row r="31" customFormat="false" ht="15" hidden="false" customHeight="false" outlineLevel="0" collapsed="false">
      <c r="A31" s="4" t="s">
        <v>136</v>
      </c>
      <c r="B31" s="25" t="n">
        <f aca="false">IFERROR(1/SUMPRODUCT(--(B24:B29&gt;0),1/(B24:B29+(B24:B29=0))),"")</f>
        <v>599.767981438515</v>
      </c>
      <c r="C31" s="11" t="s">
        <v>114</v>
      </c>
      <c r="D31" s="10" t="s">
        <v>137</v>
      </c>
    </row>
    <row r="33" customFormat="false" ht="15" hidden="false" customHeight="false" outlineLevel="0" collapsed="false">
      <c r="A33" s="7" t="s">
        <v>138</v>
      </c>
      <c r="B33" s="7"/>
      <c r="C33" s="7"/>
      <c r="D33" s="7"/>
    </row>
    <row r="34" customFormat="false" ht="15" hidden="false" customHeight="false" outlineLevel="0" collapsed="false">
      <c r="A34" s="4" t="s">
        <v>139</v>
      </c>
      <c r="B34" s="21" t="n">
        <v>12</v>
      </c>
      <c r="C34" s="11" t="s">
        <v>112</v>
      </c>
    </row>
    <row r="35" customFormat="false" ht="15" hidden="false" customHeight="false" outlineLevel="0" collapsed="false">
      <c r="A35" s="4" t="s">
        <v>140</v>
      </c>
      <c r="B35" s="24" t="n">
        <v>10000</v>
      </c>
      <c r="C35" s="11" t="s">
        <v>114</v>
      </c>
    </row>
    <row r="36" customFormat="false" ht="15" hidden="false" customHeight="false" outlineLevel="0" collapsed="false">
      <c r="A36" s="4" t="s">
        <v>141</v>
      </c>
      <c r="B36" s="24" t="n">
        <v>4700</v>
      </c>
      <c r="C36" s="11" t="s">
        <v>114</v>
      </c>
    </row>
    <row r="37" customFormat="false" ht="15" hidden="false" customHeight="false" outlineLevel="0" collapsed="false">
      <c r="A37" s="4" t="s">
        <v>142</v>
      </c>
      <c r="B37" s="18" t="n">
        <f aca="false">IFERROR(B34*B36/(B35+B36),"")</f>
        <v>3.83673469387755</v>
      </c>
      <c r="C37" s="11" t="s">
        <v>112</v>
      </c>
      <c r="D37" s="10" t="s">
        <v>143</v>
      </c>
    </row>
    <row r="38" customFormat="false" ht="15" hidden="false" customHeight="false" outlineLevel="0" collapsed="false">
      <c r="A38" s="4" t="s">
        <v>144</v>
      </c>
      <c r="B38" s="26" t="n">
        <f aca="false">IFERROR(B34/(B35+B36),"")</f>
        <v>0.000816326530612245</v>
      </c>
      <c r="C38" s="11" t="s">
        <v>116</v>
      </c>
      <c r="D38" s="10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3" t="s">
        <v>25</v>
      </c>
    </row>
    <row r="2" customFormat="false" ht="15" hidden="false" customHeight="false" outlineLevel="0" collapsed="false">
      <c r="A2" s="14" t="s">
        <v>146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147</v>
      </c>
      <c r="B5" s="7"/>
      <c r="C5" s="7"/>
      <c r="D5" s="7"/>
    </row>
    <row r="6" customFormat="false" ht="15" hidden="false" customHeight="false" outlineLevel="0" collapsed="false">
      <c r="A6" s="4" t="s">
        <v>148</v>
      </c>
      <c r="B6" s="21" t="n">
        <v>12</v>
      </c>
      <c r="C6" s="11" t="s">
        <v>112</v>
      </c>
      <c r="D6" s="10" t="s">
        <v>149</v>
      </c>
    </row>
    <row r="8" customFormat="false" ht="15" hidden="false" customHeight="false" outlineLevel="0" collapsed="false">
      <c r="A8" s="7" t="s">
        <v>150</v>
      </c>
      <c r="B8" s="7"/>
      <c r="C8" s="7"/>
      <c r="D8" s="7"/>
    </row>
    <row r="9" customFormat="false" ht="15" hidden="false" customHeight="false" outlineLevel="0" collapsed="false">
      <c r="A9" s="4" t="s">
        <v>151</v>
      </c>
      <c r="B9" s="21" t="n">
        <v>0.5</v>
      </c>
      <c r="C9" s="11" t="s">
        <v>112</v>
      </c>
    </row>
    <row r="10" customFormat="false" ht="15" hidden="false" customHeight="false" outlineLevel="0" collapsed="false">
      <c r="A10" s="4" t="s">
        <v>152</v>
      </c>
      <c r="B10" s="24" t="n">
        <v>10000</v>
      </c>
      <c r="C10" s="11" t="s">
        <v>114</v>
      </c>
    </row>
    <row r="11" customFormat="false" ht="15" hidden="false" customHeight="false" outlineLevel="0" collapsed="false">
      <c r="A11" s="4" t="s">
        <v>153</v>
      </c>
      <c r="B11" s="24" t="n">
        <v>100000</v>
      </c>
      <c r="C11" s="11" t="s">
        <v>114</v>
      </c>
    </row>
    <row r="12" customFormat="false" ht="15" hidden="false" customHeight="false" outlineLevel="0" collapsed="false">
      <c r="A12" s="4" t="s">
        <v>154</v>
      </c>
      <c r="B12" s="19" t="n">
        <f aca="false">IFERROR(-B11/B10,"")</f>
        <v>-10</v>
      </c>
      <c r="C12" s="11" t="s">
        <v>155</v>
      </c>
      <c r="D12" s="10" t="s">
        <v>156</v>
      </c>
    </row>
    <row r="13" customFormat="false" ht="15" hidden="false" customHeight="false" outlineLevel="0" collapsed="false">
      <c r="A13" s="4" t="s">
        <v>157</v>
      </c>
      <c r="B13" s="18" t="n">
        <f aca="false">IFERROR(B12*B9,"")</f>
        <v>-5</v>
      </c>
      <c r="C13" s="11" t="s">
        <v>112</v>
      </c>
      <c r="D13" s="10" t="s">
        <v>158</v>
      </c>
    </row>
    <row r="14" customFormat="false" ht="15" hidden="false" customHeight="false" outlineLevel="0" collapsed="false">
      <c r="A14" s="4" t="s">
        <v>159</v>
      </c>
      <c r="B14" s="18" t="n">
        <f aca="false">IFERROR(MAX(-B6,MIN(B6,B13)),"")</f>
        <v>-5</v>
      </c>
      <c r="C14" s="11" t="s">
        <v>112</v>
      </c>
      <c r="D14" s="10" t="s">
        <v>160</v>
      </c>
    </row>
    <row r="15" customFormat="false" ht="15" hidden="false" customHeight="false" outlineLevel="0" collapsed="false">
      <c r="A15" s="4" t="s">
        <v>161</v>
      </c>
      <c r="B15" s="20" t="str">
        <f aca="false">IF(B13="","",IF(ABS(B13)&gt;B6,"Saturated","Linear region"))</f>
        <v>Linear region</v>
      </c>
      <c r="C15" s="11"/>
    </row>
    <row r="17" customFormat="false" ht="15" hidden="false" customHeight="false" outlineLevel="0" collapsed="false">
      <c r="A17" s="7" t="s">
        <v>162</v>
      </c>
      <c r="B17" s="7"/>
      <c r="C17" s="7"/>
      <c r="D17" s="7"/>
    </row>
    <row r="18" customFormat="false" ht="15" hidden="false" customHeight="false" outlineLevel="0" collapsed="false">
      <c r="A18" s="4" t="s">
        <v>151</v>
      </c>
      <c r="B18" s="21" t="n">
        <v>0.5</v>
      </c>
      <c r="C18" s="11" t="s">
        <v>112</v>
      </c>
    </row>
    <row r="19" customFormat="false" ht="15" hidden="false" customHeight="false" outlineLevel="0" collapsed="false">
      <c r="A19" s="4" t="s">
        <v>153</v>
      </c>
      <c r="B19" s="24" t="n">
        <v>90000</v>
      </c>
      <c r="C19" s="11" t="s">
        <v>114</v>
      </c>
    </row>
    <row r="20" customFormat="false" ht="15" hidden="false" customHeight="false" outlineLevel="0" collapsed="false">
      <c r="A20" s="4" t="s">
        <v>163</v>
      </c>
      <c r="B20" s="24" t="n">
        <v>10000</v>
      </c>
      <c r="C20" s="11" t="s">
        <v>114</v>
      </c>
    </row>
    <row r="21" customFormat="false" ht="15" hidden="false" customHeight="false" outlineLevel="0" collapsed="false">
      <c r="A21" s="4" t="s">
        <v>154</v>
      </c>
      <c r="B21" s="19" t="n">
        <f aca="false">IFERROR(1+B19/B20,"")</f>
        <v>10</v>
      </c>
      <c r="C21" s="11" t="s">
        <v>155</v>
      </c>
      <c r="D21" s="10" t="s">
        <v>164</v>
      </c>
    </row>
    <row r="22" customFormat="false" ht="15" hidden="false" customHeight="false" outlineLevel="0" collapsed="false">
      <c r="A22" s="4" t="s">
        <v>157</v>
      </c>
      <c r="B22" s="18" t="n">
        <f aca="false">IFERROR(B21*B18,"")</f>
        <v>5</v>
      </c>
      <c r="C22" s="11" t="s">
        <v>112</v>
      </c>
    </row>
    <row r="23" customFormat="false" ht="15" hidden="false" customHeight="false" outlineLevel="0" collapsed="false">
      <c r="A23" s="4" t="s">
        <v>159</v>
      </c>
      <c r="B23" s="18" t="n">
        <f aca="false">IFERROR(MAX(-B6,MIN(B6,B22)),"")</f>
        <v>5</v>
      </c>
      <c r="C23" s="11" t="s">
        <v>112</v>
      </c>
    </row>
    <row r="24" customFormat="false" ht="15" hidden="false" customHeight="false" outlineLevel="0" collapsed="false">
      <c r="A24" s="4" t="s">
        <v>161</v>
      </c>
      <c r="B24" s="20" t="str">
        <f aca="false">IF(B22="","",IF(ABS(B22)&gt;B6,"Saturated","Linear region"))</f>
        <v>Linear region</v>
      </c>
      <c r="C24" s="11"/>
    </row>
    <row r="26" customFormat="false" ht="15" hidden="false" customHeight="false" outlineLevel="0" collapsed="false">
      <c r="A26" s="7" t="s">
        <v>165</v>
      </c>
      <c r="B26" s="7"/>
      <c r="C26" s="7"/>
      <c r="D26" s="7"/>
    </row>
    <row r="27" customFormat="false" ht="15" hidden="false" customHeight="false" outlineLevel="0" collapsed="false">
      <c r="A27" s="4" t="s">
        <v>166</v>
      </c>
      <c r="B27" s="21" t="n">
        <v>10</v>
      </c>
      <c r="C27" s="11" t="s">
        <v>155</v>
      </c>
    </row>
    <row r="28" customFormat="false" ht="15" hidden="false" customHeight="false" outlineLevel="0" collapsed="false">
      <c r="A28" s="4" t="s">
        <v>167</v>
      </c>
      <c r="B28" s="24" t="n">
        <v>10000</v>
      </c>
      <c r="C28" s="11" t="s">
        <v>114</v>
      </c>
    </row>
    <row r="29" customFormat="false" ht="15" hidden="false" customHeight="false" outlineLevel="0" collapsed="false">
      <c r="A29" s="4" t="s">
        <v>168</v>
      </c>
      <c r="B29" s="27" t="n">
        <f aca="false">IFERROR(B27*B28,"")</f>
        <v>100000</v>
      </c>
      <c r="C29" s="11" t="s">
        <v>114</v>
      </c>
      <c r="D29" s="10" t="s">
        <v>169</v>
      </c>
    </row>
    <row r="30" customFormat="false" ht="15" hidden="false" customHeight="false" outlineLevel="0" collapsed="false">
      <c r="A30" s="4" t="s">
        <v>170</v>
      </c>
      <c r="B30" s="24" t="n">
        <v>10000</v>
      </c>
      <c r="C30" s="11" t="s">
        <v>114</v>
      </c>
    </row>
    <row r="31" customFormat="false" ht="15" hidden="false" customHeight="false" outlineLevel="0" collapsed="false">
      <c r="A31" s="4" t="s">
        <v>171</v>
      </c>
      <c r="B31" s="27" t="n">
        <f aca="false">IF(B27&gt;=1,(B27-1)*B30,"")</f>
        <v>90000</v>
      </c>
      <c r="C31" s="11" t="s">
        <v>114</v>
      </c>
      <c r="D31" s="10" t="s">
        <v>172</v>
      </c>
    </row>
    <row r="33" customFormat="false" ht="15" hidden="false" customHeight="false" outlineLevel="0" collapsed="false">
      <c r="A33" s="7" t="s">
        <v>173</v>
      </c>
      <c r="B33" s="7"/>
      <c r="C33" s="7"/>
      <c r="D33" s="7"/>
    </row>
    <row r="34" customFormat="false" ht="15" hidden="false" customHeight="false" outlineLevel="0" collapsed="false">
      <c r="A34" s="4" t="s">
        <v>174</v>
      </c>
      <c r="B34" s="15" t="n">
        <v>-4.9</v>
      </c>
      <c r="C34" s="11" t="s">
        <v>112</v>
      </c>
    </row>
    <row r="35" customFormat="false" ht="15" hidden="false" customHeight="false" outlineLevel="0" collapsed="false">
      <c r="A35" s="4" t="s">
        <v>175</v>
      </c>
      <c r="B35" s="19" t="n">
        <f aca="false">IFERROR(ABS(B34-B14)/ABS(B14)*100,"")</f>
        <v>1.99999999999999</v>
      </c>
      <c r="C35" s="11" t="s">
        <v>85</v>
      </c>
      <c r="D35" s="10" t="s">
        <v>176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3" t="s">
        <v>28</v>
      </c>
    </row>
    <row r="2" customFormat="false" ht="15" hidden="false" customHeight="false" outlineLevel="0" collapsed="false">
      <c r="A2" s="14" t="s">
        <v>177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178</v>
      </c>
      <c r="B5" s="7"/>
      <c r="C5" s="7"/>
      <c r="D5" s="7"/>
    </row>
    <row r="6" customFormat="false" ht="15" hidden="false" customHeight="false" outlineLevel="0" collapsed="false">
      <c r="A6" s="4" t="s">
        <v>179</v>
      </c>
      <c r="B6" s="21" t="n">
        <v>50</v>
      </c>
      <c r="C6" s="11" t="s">
        <v>180</v>
      </c>
    </row>
    <row r="7" customFormat="false" ht="15" hidden="false" customHeight="false" outlineLevel="0" collapsed="false">
      <c r="A7" s="4" t="s">
        <v>181</v>
      </c>
      <c r="B7" s="28" t="n">
        <v>4</v>
      </c>
      <c r="C7" s="11"/>
      <c r="D7" s="10" t="s">
        <v>182</v>
      </c>
    </row>
    <row r="8" customFormat="false" ht="15" hidden="false" customHeight="false" outlineLevel="0" collapsed="false">
      <c r="A8" s="4" t="s">
        <v>183</v>
      </c>
      <c r="B8" s="21" t="n">
        <v>1440</v>
      </c>
      <c r="C8" s="11" t="s">
        <v>184</v>
      </c>
    </row>
    <row r="9" customFormat="false" ht="15" hidden="false" customHeight="false" outlineLevel="0" collapsed="false">
      <c r="A9" s="4" t="s">
        <v>185</v>
      </c>
      <c r="B9" s="21" t="n">
        <v>400</v>
      </c>
      <c r="C9" s="11" t="s">
        <v>112</v>
      </c>
    </row>
    <row r="10" customFormat="false" ht="15" hidden="false" customHeight="false" outlineLevel="0" collapsed="false">
      <c r="A10" s="4" t="s">
        <v>186</v>
      </c>
      <c r="B10" s="21" t="n">
        <v>4.5</v>
      </c>
      <c r="C10" s="11" t="s">
        <v>116</v>
      </c>
    </row>
    <row r="11" customFormat="false" ht="15" hidden="false" customHeight="false" outlineLevel="0" collapsed="false">
      <c r="A11" s="4" t="s">
        <v>187</v>
      </c>
      <c r="B11" s="29" t="n">
        <v>0.82</v>
      </c>
      <c r="C11" s="11"/>
      <c r="D11" s="10" t="s">
        <v>188</v>
      </c>
    </row>
    <row r="12" customFormat="false" ht="15" hidden="false" customHeight="false" outlineLevel="0" collapsed="false">
      <c r="A12" s="4" t="s">
        <v>189</v>
      </c>
      <c r="B12" s="21" t="n">
        <v>12</v>
      </c>
      <c r="C12" s="11" t="s">
        <v>190</v>
      </c>
    </row>
    <row r="13" customFormat="false" ht="15" hidden="false" customHeight="false" outlineLevel="0" collapsed="false">
      <c r="A13" s="4" t="s">
        <v>191</v>
      </c>
      <c r="B13" s="30" t="n">
        <f aca="false">IFERROR(120*B6/B7,"")</f>
        <v>1500</v>
      </c>
      <c r="C13" s="11" t="s">
        <v>184</v>
      </c>
      <c r="D13" s="10" t="s">
        <v>192</v>
      </c>
    </row>
    <row r="14" customFormat="false" ht="15" hidden="false" customHeight="false" outlineLevel="0" collapsed="false">
      <c r="A14" s="4" t="s">
        <v>193</v>
      </c>
      <c r="B14" s="17" t="n">
        <f aca="false">IFERROR((B13-B8)/B13,"")</f>
        <v>0.04</v>
      </c>
      <c r="C14" s="11"/>
      <c r="D14" s="10" t="s">
        <v>194</v>
      </c>
    </row>
    <row r="15" customFormat="false" ht="15" hidden="false" customHeight="false" outlineLevel="0" collapsed="false">
      <c r="A15" s="4" t="s">
        <v>195</v>
      </c>
      <c r="B15" s="19" t="n">
        <f aca="false">IF(B14="","",B14*100)</f>
        <v>4</v>
      </c>
      <c r="C15" s="11" t="s">
        <v>85</v>
      </c>
    </row>
    <row r="16" customFormat="false" ht="15" hidden="false" customHeight="false" outlineLevel="0" collapsed="false">
      <c r="A16" s="4" t="s">
        <v>196</v>
      </c>
      <c r="B16" s="19" t="n">
        <f aca="false">IF(B14="","",B14*B6)</f>
        <v>2</v>
      </c>
      <c r="C16" s="11" t="s">
        <v>180</v>
      </c>
      <c r="D16" s="10" t="s">
        <v>197</v>
      </c>
    </row>
    <row r="17" customFormat="false" ht="15" hidden="false" customHeight="false" outlineLevel="0" collapsed="false">
      <c r="A17" s="4" t="s">
        <v>198</v>
      </c>
      <c r="B17" s="31" t="n">
        <f aca="false">IFERROR(SQRT(3)*B9*B10*B11,"")</f>
        <v>2556.50699197166</v>
      </c>
      <c r="C17" s="11" t="s">
        <v>119</v>
      </c>
      <c r="D17" s="10" t="s">
        <v>199</v>
      </c>
    </row>
    <row r="18" customFormat="false" ht="15" hidden="false" customHeight="false" outlineLevel="0" collapsed="false">
      <c r="A18" s="4" t="s">
        <v>200</v>
      </c>
      <c r="B18" s="31" t="n">
        <f aca="false">IFERROR(2*PI()*B8*B12/60,"")</f>
        <v>1809.55736846772</v>
      </c>
      <c r="C18" s="11" t="s">
        <v>119</v>
      </c>
      <c r="D18" s="10" t="s">
        <v>201</v>
      </c>
    </row>
    <row r="19" customFormat="false" ht="15" hidden="false" customHeight="false" outlineLevel="0" collapsed="false">
      <c r="A19" s="4" t="s">
        <v>202</v>
      </c>
      <c r="B19" s="19" t="n">
        <f aca="false">IFERROR(B18/B17*100,"")</f>
        <v>70.7824142140183</v>
      </c>
      <c r="C19" s="11" t="s">
        <v>85</v>
      </c>
      <c r="D19" s="10" t="s">
        <v>203</v>
      </c>
    </row>
    <row r="21" customFormat="false" ht="15" hidden="false" customHeight="false" outlineLevel="0" collapsed="false">
      <c r="A21" s="7" t="s">
        <v>204</v>
      </c>
      <c r="B21" s="7"/>
      <c r="C21" s="7"/>
      <c r="D21" s="7"/>
    </row>
    <row r="22" customFormat="false" ht="15" hidden="false" customHeight="false" outlineLevel="0" collapsed="false">
      <c r="A22" s="4" t="s">
        <v>205</v>
      </c>
      <c r="B22" s="21" t="n">
        <v>230</v>
      </c>
      <c r="C22" s="11" t="s">
        <v>112</v>
      </c>
    </row>
    <row r="23" customFormat="false" ht="15" hidden="false" customHeight="false" outlineLevel="0" collapsed="false">
      <c r="A23" s="4" t="s">
        <v>206</v>
      </c>
      <c r="B23" s="21" t="n">
        <v>115</v>
      </c>
      <c r="C23" s="11" t="s">
        <v>112</v>
      </c>
    </row>
    <row r="24" customFormat="false" ht="15" hidden="false" customHeight="false" outlineLevel="0" collapsed="false">
      <c r="A24" s="4" t="s">
        <v>207</v>
      </c>
      <c r="B24" s="21" t="n">
        <v>110</v>
      </c>
      <c r="C24" s="11" t="s">
        <v>112</v>
      </c>
    </row>
    <row r="25" customFormat="false" ht="15" hidden="false" customHeight="false" outlineLevel="0" collapsed="false">
      <c r="A25" s="4" t="s">
        <v>198</v>
      </c>
      <c r="B25" s="21" t="n">
        <v>520</v>
      </c>
      <c r="C25" s="11" t="s">
        <v>119</v>
      </c>
    </row>
    <row r="26" customFormat="false" ht="15" hidden="false" customHeight="false" outlineLevel="0" collapsed="false">
      <c r="A26" s="4" t="s">
        <v>208</v>
      </c>
      <c r="B26" s="21" t="n">
        <v>480</v>
      </c>
      <c r="C26" s="11" t="s">
        <v>119</v>
      </c>
    </row>
    <row r="27" customFormat="false" ht="15" hidden="false" customHeight="false" outlineLevel="0" collapsed="false">
      <c r="A27" s="4" t="s">
        <v>209</v>
      </c>
      <c r="B27" s="18" t="n">
        <f aca="false">IFERROR(B22/B23,"")</f>
        <v>2</v>
      </c>
      <c r="C27" s="11"/>
      <c r="D27" s="10" t="s">
        <v>210</v>
      </c>
    </row>
    <row r="28" customFormat="false" ht="15" hidden="false" customHeight="false" outlineLevel="0" collapsed="false">
      <c r="A28" s="4" t="s">
        <v>211</v>
      </c>
      <c r="B28" s="19" t="n">
        <f aca="false">IFERROR((B23-B24)/B24*100,"")</f>
        <v>4.54545454545455</v>
      </c>
      <c r="C28" s="11" t="s">
        <v>85</v>
      </c>
      <c r="D28" s="10" t="s">
        <v>212</v>
      </c>
    </row>
    <row r="29" customFormat="false" ht="15" hidden="false" customHeight="false" outlineLevel="0" collapsed="false">
      <c r="A29" s="4" t="s">
        <v>202</v>
      </c>
      <c r="B29" s="19" t="n">
        <f aca="false">IFERROR(B26/B25*100,"")</f>
        <v>92.3076923076923</v>
      </c>
      <c r="C29" s="11" t="s">
        <v>85</v>
      </c>
      <c r="D29" s="10" t="s">
        <v>203</v>
      </c>
    </row>
    <row r="30" customFormat="false" ht="15" hidden="false" customHeight="false" outlineLevel="0" collapsed="false">
      <c r="A30" s="4" t="s">
        <v>213</v>
      </c>
      <c r="B30" s="30" t="n">
        <f aca="false">IFERROR(B25-B26,"")</f>
        <v>40</v>
      </c>
      <c r="C30" s="11" t="s">
        <v>119</v>
      </c>
      <c r="D30" s="10" t="s">
        <v>214</v>
      </c>
    </row>
    <row r="32" customFormat="false" ht="15" hidden="false" customHeight="false" outlineLevel="0" collapsed="false">
      <c r="A32" s="7" t="s">
        <v>215</v>
      </c>
      <c r="B32" s="7"/>
      <c r="C32" s="7"/>
      <c r="D32" s="7"/>
    </row>
    <row r="33" customFormat="false" ht="15" hidden="false" customHeight="false" outlineLevel="0" collapsed="false">
      <c r="A33" s="4" t="s">
        <v>216</v>
      </c>
      <c r="B33" s="28" t="n">
        <v>4</v>
      </c>
      <c r="C33" s="11"/>
    </row>
    <row r="34" customFormat="false" ht="15" hidden="false" customHeight="false" outlineLevel="0" collapsed="false">
      <c r="A34" s="4" t="s">
        <v>217</v>
      </c>
      <c r="B34" s="21" t="n">
        <v>1500</v>
      </c>
      <c r="C34" s="11" t="s">
        <v>184</v>
      </c>
    </row>
    <row r="35" customFormat="false" ht="15" hidden="false" customHeight="false" outlineLevel="0" collapsed="false">
      <c r="A35" s="4" t="s">
        <v>218</v>
      </c>
      <c r="B35" s="21" t="n">
        <v>50</v>
      </c>
      <c r="C35" s="11" t="s">
        <v>180</v>
      </c>
    </row>
    <row r="36" customFormat="false" ht="15" hidden="false" customHeight="false" outlineLevel="0" collapsed="false">
      <c r="A36" s="4" t="s">
        <v>219</v>
      </c>
      <c r="B36" s="19" t="n">
        <f aca="false">IFERROR(B33*B34/120,"")</f>
        <v>50</v>
      </c>
      <c r="C36" s="11" t="s">
        <v>180</v>
      </c>
      <c r="D36" s="10" t="s">
        <v>220</v>
      </c>
    </row>
    <row r="37" customFormat="false" ht="15" hidden="false" customHeight="false" outlineLevel="0" collapsed="false">
      <c r="A37" s="4" t="s">
        <v>221</v>
      </c>
      <c r="B37" s="30" t="n">
        <f aca="false">IFERROR(120*B35/B33,"")</f>
        <v>1500</v>
      </c>
      <c r="C37" s="11" t="s">
        <v>184</v>
      </c>
      <c r="D37" s="10" t="s">
        <v>222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3" t="s">
        <v>223</v>
      </c>
    </row>
    <row r="2" customFormat="false" ht="15" hidden="false" customHeight="false" outlineLevel="0" collapsed="false">
      <c r="A2" s="14" t="s">
        <v>224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225</v>
      </c>
      <c r="B5" s="7"/>
      <c r="C5" s="7"/>
      <c r="D5" s="7"/>
    </row>
    <row r="6" customFormat="false" ht="15" hidden="false" customHeight="false" outlineLevel="0" collapsed="false">
      <c r="A6" s="4" t="s">
        <v>226</v>
      </c>
      <c r="B6" s="21" t="n">
        <v>325</v>
      </c>
      <c r="C6" s="11" t="s">
        <v>112</v>
      </c>
    </row>
    <row r="7" customFormat="false" ht="15" hidden="false" customHeight="false" outlineLevel="0" collapsed="false">
      <c r="A7" s="4" t="s">
        <v>227</v>
      </c>
      <c r="B7" s="21" t="n">
        <v>50</v>
      </c>
      <c r="C7" s="11" t="s">
        <v>180</v>
      </c>
    </row>
    <row r="8" customFormat="false" ht="15" hidden="false" customHeight="false" outlineLevel="0" collapsed="false">
      <c r="A8" s="4" t="s">
        <v>228</v>
      </c>
      <c r="B8" s="19" t="n">
        <f aca="false">IFERROR(B6/SQRT(2),"")</f>
        <v>229.809703885628</v>
      </c>
      <c r="C8" s="11" t="s">
        <v>112</v>
      </c>
      <c r="D8" s="10" t="s">
        <v>229</v>
      </c>
    </row>
    <row r="9" customFormat="false" ht="15" hidden="false" customHeight="false" outlineLevel="0" collapsed="false">
      <c r="A9" s="4" t="s">
        <v>230</v>
      </c>
      <c r="B9" s="18" t="n">
        <f aca="false">IFERROR(1000/B7,"")</f>
        <v>20</v>
      </c>
      <c r="C9" s="11" t="s">
        <v>231</v>
      </c>
      <c r="D9" s="10" t="s">
        <v>232</v>
      </c>
    </row>
    <row r="10" customFormat="false" ht="15" hidden="false" customHeight="false" outlineLevel="0" collapsed="false">
      <c r="A10" s="4" t="s">
        <v>233</v>
      </c>
      <c r="B10" s="19" t="n">
        <f aca="false">IFERROR(2*PI()*B7,"")</f>
        <v>314.159265358979</v>
      </c>
      <c r="C10" s="11" t="s">
        <v>234</v>
      </c>
      <c r="D10" s="10" t="s">
        <v>235</v>
      </c>
    </row>
    <row r="12" customFormat="false" ht="15" hidden="false" customHeight="false" outlineLevel="0" collapsed="false">
      <c r="A12" s="7" t="s">
        <v>236</v>
      </c>
      <c r="B12" s="7"/>
      <c r="C12" s="7"/>
      <c r="D12" s="7"/>
    </row>
    <row r="13" customFormat="false" ht="15" hidden="false" customHeight="false" outlineLevel="0" collapsed="false">
      <c r="A13" s="4" t="s">
        <v>185</v>
      </c>
      <c r="B13" s="21" t="n">
        <v>400</v>
      </c>
      <c r="C13" s="11" t="s">
        <v>112</v>
      </c>
    </row>
    <row r="14" customFormat="false" ht="15" hidden="false" customHeight="false" outlineLevel="0" collapsed="false">
      <c r="A14" s="4" t="s">
        <v>186</v>
      </c>
      <c r="B14" s="21" t="n">
        <v>10</v>
      </c>
      <c r="C14" s="11" t="s">
        <v>116</v>
      </c>
    </row>
    <row r="15" customFormat="false" ht="15" hidden="false" customHeight="false" outlineLevel="0" collapsed="false">
      <c r="A15" s="4" t="s">
        <v>187</v>
      </c>
      <c r="B15" s="29" t="n">
        <v>0.85</v>
      </c>
      <c r="C15" s="11"/>
      <c r="D15" s="10" t="s">
        <v>188</v>
      </c>
    </row>
    <row r="16" customFormat="false" ht="15" hidden="false" customHeight="false" outlineLevel="0" collapsed="false">
      <c r="A16" s="4" t="s">
        <v>237</v>
      </c>
      <c r="B16" s="21" t="s">
        <v>238</v>
      </c>
      <c r="C16" s="11"/>
      <c r="D16" s="10" t="s">
        <v>239</v>
      </c>
    </row>
    <row r="17" customFormat="false" ht="15" hidden="false" customHeight="false" outlineLevel="0" collapsed="false">
      <c r="A17" s="4" t="s">
        <v>240</v>
      </c>
      <c r="B17" s="31" t="n">
        <f aca="false">IFERROR(SQRT(3)*B13*B14,"")</f>
        <v>6928.20323027551</v>
      </c>
      <c r="C17" s="11" t="s">
        <v>241</v>
      </c>
      <c r="D17" s="10" t="s">
        <v>242</v>
      </c>
    </row>
    <row r="18" customFormat="false" ht="15" hidden="false" customHeight="false" outlineLevel="0" collapsed="false">
      <c r="A18" s="4" t="s">
        <v>243</v>
      </c>
      <c r="B18" s="31" t="n">
        <f aca="false">IFERROR(B17*B15,"")</f>
        <v>5888.97274573418</v>
      </c>
      <c r="C18" s="11" t="s">
        <v>119</v>
      </c>
      <c r="D18" s="10" t="s">
        <v>244</v>
      </c>
    </row>
    <row r="19" customFormat="false" ht="15" hidden="false" customHeight="false" outlineLevel="0" collapsed="false">
      <c r="A19" s="4" t="s">
        <v>245</v>
      </c>
      <c r="B19" s="31" t="n">
        <f aca="false">IFERROR(B17*SQRT(1-B15^2),"")</f>
        <v>3649.65751817893</v>
      </c>
      <c r="C19" s="11" t="s">
        <v>246</v>
      </c>
      <c r="D19" s="10" t="s">
        <v>247</v>
      </c>
    </row>
    <row r="20" customFormat="false" ht="15" hidden="false" customHeight="false" outlineLevel="0" collapsed="false">
      <c r="A20" s="4" t="s">
        <v>248</v>
      </c>
      <c r="B20" s="19" t="n">
        <f aca="false">IFERROR(ACOS(B15)*180/PI(),"")</f>
        <v>31.7883306170516</v>
      </c>
      <c r="C20" s="11" t="s">
        <v>249</v>
      </c>
      <c r="D20" s="10" t="s">
        <v>250</v>
      </c>
    </row>
    <row r="21" customFormat="false" ht="15" hidden="false" customHeight="false" outlineLevel="0" collapsed="false">
      <c r="A21" s="4" t="s">
        <v>251</v>
      </c>
      <c r="B21" s="19" t="n">
        <f aca="false">IFERROR(IF(B16="Star",B13/SQRT(3),B13),"")</f>
        <v>230.94010767585</v>
      </c>
      <c r="C21" s="11" t="s">
        <v>112</v>
      </c>
      <c r="D21" s="10" t="s">
        <v>252</v>
      </c>
    </row>
    <row r="22" customFormat="false" ht="15" hidden="false" customHeight="false" outlineLevel="0" collapsed="false">
      <c r="A22" s="4" t="s">
        <v>253</v>
      </c>
      <c r="B22" s="18" t="n">
        <f aca="false">IFERROR(IF(B16="Star",B14,B14/SQRT(3)),"")</f>
        <v>10</v>
      </c>
      <c r="C22" s="11" t="s">
        <v>116</v>
      </c>
      <c r="D22" s="10" t="s">
        <v>254</v>
      </c>
    </row>
    <row r="24" customFormat="false" ht="15" hidden="false" customHeight="false" outlineLevel="0" collapsed="false">
      <c r="A24" s="7" t="s">
        <v>255</v>
      </c>
      <c r="B24" s="7"/>
      <c r="C24" s="7"/>
      <c r="D24" s="7"/>
    </row>
    <row r="25" customFormat="false" ht="15" hidden="false" customHeight="false" outlineLevel="0" collapsed="false">
      <c r="A25" s="4" t="s">
        <v>256</v>
      </c>
      <c r="B25" s="29" t="n">
        <v>0.95</v>
      </c>
      <c r="C25" s="11"/>
      <c r="D25" s="10" t="s">
        <v>257</v>
      </c>
    </row>
    <row r="26" customFormat="false" ht="15" hidden="false" customHeight="false" outlineLevel="0" collapsed="false">
      <c r="A26" s="4" t="s">
        <v>258</v>
      </c>
      <c r="B26" s="18" t="n">
        <f aca="false">IFERROR(IF(B25&lt;=B15,0,B18*(TAN(ACOS(B15))-TAN(ACOS(B25)))/1000),"")</f>
        <v>1.71404578082458</v>
      </c>
      <c r="C26" s="11" t="s">
        <v>259</v>
      </c>
      <c r="D26" s="10" t="s">
        <v>260</v>
      </c>
    </row>
  </sheetData>
  <dataValidations count="1">
    <dataValidation allowBlank="false" errorStyle="stop" operator="between" showDropDown="false" showErrorMessage="false" showInputMessage="false" sqref="B16" type="list">
      <formula1>"Star,Delta"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P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44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3"/>
    <col collapsed="false" customWidth="true" hidden="false" outlineLevel="0" max="10" min="9" style="0" width="12"/>
    <col collapsed="false" customWidth="true" hidden="false" outlineLevel="0" max="11" min="11" style="0" width="3"/>
    <col collapsed="false" customWidth="true" hidden="false" outlineLevel="0" max="12" min="12" style="0" width="12"/>
    <col collapsed="false" customWidth="true" hidden="false" outlineLevel="0" max="13" min="13" style="0" width="10"/>
    <col collapsed="false" customWidth="true" hidden="false" outlineLevel="0" max="14" min="14" style="0" width="3"/>
    <col collapsed="false" customWidth="true" hidden="false" outlineLevel="0" max="15" min="15" style="0" width="10"/>
    <col collapsed="false" customWidth="true" hidden="false" outlineLevel="0" max="16" min="16" style="0" width="12"/>
  </cols>
  <sheetData>
    <row r="1" customFormat="false" ht="25.5" hidden="false" customHeight="true" outlineLevel="0" collapsed="false">
      <c r="A1" s="13" t="s">
        <v>34</v>
      </c>
    </row>
    <row r="2" customFormat="false" ht="15" hidden="false" customHeight="false" outlineLevel="0" collapsed="false">
      <c r="A2" s="14" t="s">
        <v>261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262</v>
      </c>
      <c r="B5" s="7"/>
      <c r="C5" s="7"/>
      <c r="D5" s="7"/>
      <c r="F5" s="22" t="s">
        <v>263</v>
      </c>
      <c r="G5" s="22" t="s">
        <v>264</v>
      </c>
      <c r="I5" s="22" t="s">
        <v>263</v>
      </c>
      <c r="J5" s="22" t="s">
        <v>265</v>
      </c>
      <c r="L5" s="22" t="s">
        <v>263</v>
      </c>
      <c r="M5" s="22" t="s">
        <v>266</v>
      </c>
      <c r="O5" s="22" t="s">
        <v>267</v>
      </c>
      <c r="P5" s="22" t="s">
        <v>268</v>
      </c>
    </row>
    <row r="6" customFormat="false" ht="15" hidden="false" customHeight="false" outlineLevel="0" collapsed="false">
      <c r="A6" s="4" t="s">
        <v>269</v>
      </c>
      <c r="B6" s="21" t="s">
        <v>270</v>
      </c>
      <c r="C6" s="11"/>
      <c r="D6" s="11" t="s">
        <v>271</v>
      </c>
      <c r="F6" s="32" t="s">
        <v>272</v>
      </c>
      <c r="G6" s="32" t="n">
        <v>0</v>
      </c>
      <c r="I6" s="32" t="s">
        <v>272</v>
      </c>
      <c r="J6" s="32" t="n">
        <v>1</v>
      </c>
      <c r="L6" s="32" t="s">
        <v>273</v>
      </c>
      <c r="M6" s="32" t="n">
        <v>1</v>
      </c>
      <c r="O6" s="32" t="n">
        <v>1</v>
      </c>
      <c r="P6" s="33" t="n">
        <f aca="false">IFERROR(ABS(O6-$B$19),"")</f>
        <v>2.5</v>
      </c>
    </row>
    <row r="7" customFormat="false" ht="15" hidden="false" customHeight="false" outlineLevel="0" collapsed="false">
      <c r="A7" s="4" t="s">
        <v>274</v>
      </c>
      <c r="B7" s="21" t="s">
        <v>275</v>
      </c>
      <c r="C7" s="11"/>
      <c r="D7" s="11" t="s">
        <v>271</v>
      </c>
      <c r="F7" s="32" t="s">
        <v>273</v>
      </c>
      <c r="G7" s="32" t="n">
        <v>1</v>
      </c>
      <c r="I7" s="32" t="s">
        <v>273</v>
      </c>
      <c r="J7" s="32" t="n">
        <v>10</v>
      </c>
      <c r="L7" s="32" t="s">
        <v>276</v>
      </c>
      <c r="M7" s="32" t="n">
        <v>2</v>
      </c>
      <c r="O7" s="32" t="n">
        <v>1.2</v>
      </c>
      <c r="P7" s="33" t="n">
        <f aca="false">IFERROR(ABS(O7-$B$19),"")</f>
        <v>2.3</v>
      </c>
    </row>
    <row r="8" customFormat="false" ht="15" hidden="false" customHeight="false" outlineLevel="0" collapsed="false">
      <c r="A8" s="4" t="s">
        <v>277</v>
      </c>
      <c r="B8" s="21" t="s">
        <v>276</v>
      </c>
      <c r="C8" s="11"/>
      <c r="D8" s="11" t="s">
        <v>271</v>
      </c>
      <c r="F8" s="32" t="s">
        <v>276</v>
      </c>
      <c r="G8" s="32" t="n">
        <v>2</v>
      </c>
      <c r="I8" s="32" t="s">
        <v>276</v>
      </c>
      <c r="J8" s="32" t="n">
        <v>100</v>
      </c>
      <c r="L8" s="32" t="s">
        <v>278</v>
      </c>
      <c r="M8" s="32" t="n">
        <v>0.5</v>
      </c>
      <c r="O8" s="32" t="n">
        <v>1.5</v>
      </c>
      <c r="P8" s="33" t="n">
        <f aca="false">IFERROR(ABS(O8-$B$19),"")</f>
        <v>2</v>
      </c>
    </row>
    <row r="9" customFormat="false" ht="15" hidden="false" customHeight="false" outlineLevel="0" collapsed="false">
      <c r="A9" s="4" t="s">
        <v>279</v>
      </c>
      <c r="B9" s="21" t="s">
        <v>280</v>
      </c>
      <c r="C9" s="11"/>
      <c r="D9" s="11" t="s">
        <v>271</v>
      </c>
      <c r="F9" s="32" t="s">
        <v>281</v>
      </c>
      <c r="G9" s="32" t="n">
        <v>3</v>
      </c>
      <c r="I9" s="32" t="s">
        <v>281</v>
      </c>
      <c r="J9" s="32" t="n">
        <v>1000</v>
      </c>
      <c r="L9" s="32" t="s">
        <v>282</v>
      </c>
      <c r="M9" s="32" t="n">
        <v>0.25</v>
      </c>
      <c r="O9" s="32" t="n">
        <v>1.8</v>
      </c>
      <c r="P9" s="33" t="n">
        <f aca="false">IFERROR(ABS(O9-$B$19),"")</f>
        <v>1.7</v>
      </c>
    </row>
    <row r="10" customFormat="false" ht="15" hidden="false" customHeight="false" outlineLevel="0" collapsed="false">
      <c r="F10" s="32" t="s">
        <v>270</v>
      </c>
      <c r="G10" s="32" t="n">
        <v>4</v>
      </c>
      <c r="I10" s="32" t="s">
        <v>270</v>
      </c>
      <c r="J10" s="32" t="n">
        <v>10000</v>
      </c>
      <c r="L10" s="32" t="s">
        <v>275</v>
      </c>
      <c r="M10" s="32" t="n">
        <v>0.1</v>
      </c>
      <c r="O10" s="32" t="n">
        <v>2.2</v>
      </c>
      <c r="P10" s="33" t="n">
        <f aca="false">IFERROR(ABS(O10-$B$19),"")</f>
        <v>1.3</v>
      </c>
    </row>
    <row r="11" customFormat="false" ht="15" hidden="false" customHeight="false" outlineLevel="0" collapsed="false">
      <c r="A11" s="4" t="s">
        <v>283</v>
      </c>
      <c r="B11" s="27" t="n">
        <f aca="false">IFERROR((10*INDEX($G$6:$G$15,MATCH(B6,$F$6:$F$15,0))+INDEX($G$6:$G$15,MATCH(B7,$F$6:$F$15,0)))*INDEX($J$6:$J$17,MATCH(B8,$I$6:$I$17,0)),"")</f>
        <v>4700</v>
      </c>
      <c r="C11" s="11" t="s">
        <v>114</v>
      </c>
      <c r="D11" s="10" t="s">
        <v>284</v>
      </c>
      <c r="F11" s="32" t="s">
        <v>278</v>
      </c>
      <c r="G11" s="32" t="n">
        <v>5</v>
      </c>
      <c r="I11" s="32" t="s">
        <v>278</v>
      </c>
      <c r="J11" s="32" t="n">
        <v>100000</v>
      </c>
      <c r="L11" s="32" t="s">
        <v>285</v>
      </c>
      <c r="M11" s="32" t="n">
        <v>0.05</v>
      </c>
      <c r="O11" s="32" t="n">
        <v>2.7</v>
      </c>
      <c r="P11" s="33" t="n">
        <f aca="false">IFERROR(ABS(O11-$B$19),"")</f>
        <v>0.8</v>
      </c>
    </row>
    <row r="12" customFormat="false" ht="15" hidden="false" customHeight="false" outlineLevel="0" collapsed="false">
      <c r="A12" s="4" t="s">
        <v>286</v>
      </c>
      <c r="B12" s="20" t="str">
        <f aca="false">IF(B11="","",IF(B11&gt;=1000000,ROUND(B11/1000000,3)&amp;" MΩ",IF(B11&gt;=1000,ROUND(B11/1000,3)&amp;" kΩ",ROUND(B11,3)&amp;" Ω")))</f>
        <v>4.7 kΩ</v>
      </c>
      <c r="C12" s="11"/>
      <c r="F12" s="32" t="s">
        <v>282</v>
      </c>
      <c r="G12" s="32" t="n">
        <v>6</v>
      </c>
      <c r="I12" s="32" t="s">
        <v>282</v>
      </c>
      <c r="J12" s="32" t="n">
        <v>1000000</v>
      </c>
      <c r="L12" s="32" t="s">
        <v>280</v>
      </c>
      <c r="M12" s="32" t="n">
        <v>5</v>
      </c>
      <c r="O12" s="32" t="n">
        <v>3.3</v>
      </c>
      <c r="P12" s="33" t="n">
        <f aca="false">IFERROR(ABS(O12-$B$19),"")</f>
        <v>0.2</v>
      </c>
    </row>
    <row r="13" customFormat="false" ht="15" hidden="false" customHeight="false" outlineLevel="0" collapsed="false">
      <c r="A13" s="4" t="s">
        <v>287</v>
      </c>
      <c r="B13" s="19" t="n">
        <f aca="false">IFERROR(INDEX($M$6:$M$14,MATCH(B9,$L$6:$L$14,0)),"")</f>
        <v>5</v>
      </c>
      <c r="C13" s="11" t="s">
        <v>85</v>
      </c>
      <c r="F13" s="32" t="s">
        <v>275</v>
      </c>
      <c r="G13" s="32" t="n">
        <v>7</v>
      </c>
      <c r="I13" s="32" t="s">
        <v>275</v>
      </c>
      <c r="J13" s="32" t="n">
        <v>10000000</v>
      </c>
      <c r="L13" s="32" t="s">
        <v>288</v>
      </c>
      <c r="M13" s="32" t="n">
        <v>10</v>
      </c>
      <c r="O13" s="32" t="n">
        <v>3.9</v>
      </c>
      <c r="P13" s="33" t="n">
        <f aca="false">IFERROR(ABS(O13-$B$19),"")</f>
        <v>0.4</v>
      </c>
    </row>
    <row r="14" customFormat="false" ht="15" hidden="false" customHeight="false" outlineLevel="0" collapsed="false">
      <c r="A14" s="4" t="s">
        <v>289</v>
      </c>
      <c r="B14" s="27" t="n">
        <f aca="false">IF(OR(B11="",B13=""),"",B11*(1-B13/100))</f>
        <v>4465</v>
      </c>
      <c r="C14" s="11" t="s">
        <v>114</v>
      </c>
      <c r="F14" s="32" t="s">
        <v>285</v>
      </c>
      <c r="G14" s="32" t="n">
        <v>8</v>
      </c>
      <c r="I14" s="32" t="s">
        <v>285</v>
      </c>
      <c r="J14" s="32" t="n">
        <v>100000000</v>
      </c>
      <c r="L14" s="32" t="s">
        <v>290</v>
      </c>
      <c r="M14" s="32" t="n">
        <v>20</v>
      </c>
      <c r="O14" s="32" t="n">
        <v>4.7</v>
      </c>
      <c r="P14" s="33" t="n">
        <f aca="false">IFERROR(ABS(O14-$B$19),"")</f>
        <v>1.2</v>
      </c>
    </row>
    <row r="15" customFormat="false" ht="15" hidden="false" customHeight="false" outlineLevel="0" collapsed="false">
      <c r="A15" s="4" t="s">
        <v>291</v>
      </c>
      <c r="B15" s="27" t="n">
        <f aca="false">IF(OR(B11="",B13=""),"",B11*(1+B13/100))</f>
        <v>4935</v>
      </c>
      <c r="C15" s="11" t="s">
        <v>114</v>
      </c>
      <c r="F15" s="32" t="s">
        <v>292</v>
      </c>
      <c r="G15" s="32" t="n">
        <v>9</v>
      </c>
      <c r="I15" s="32" t="s">
        <v>292</v>
      </c>
      <c r="J15" s="32" t="n">
        <v>1000000000</v>
      </c>
      <c r="O15" s="32" t="n">
        <v>5.6</v>
      </c>
      <c r="P15" s="33" t="n">
        <f aca="false">IFERROR(ABS(O15-$B$19),"")</f>
        <v>2.1</v>
      </c>
    </row>
    <row r="16" customFormat="false" ht="15" hidden="false" customHeight="false" outlineLevel="0" collapsed="false">
      <c r="I16" s="32" t="s">
        <v>280</v>
      </c>
      <c r="J16" s="32" t="n">
        <v>0.1</v>
      </c>
      <c r="O16" s="32" t="n">
        <v>6.8</v>
      </c>
      <c r="P16" s="33" t="n">
        <f aca="false">IFERROR(ABS(O16-$B$19),"")</f>
        <v>3.3</v>
      </c>
    </row>
    <row r="17" customFormat="false" ht="15" hidden="false" customHeight="false" outlineLevel="0" collapsed="false">
      <c r="A17" s="7" t="s">
        <v>293</v>
      </c>
      <c r="B17" s="7"/>
      <c r="C17" s="7"/>
      <c r="D17" s="7"/>
      <c r="I17" s="32" t="s">
        <v>288</v>
      </c>
      <c r="J17" s="32" t="n">
        <v>0.01</v>
      </c>
      <c r="O17" s="32" t="n">
        <v>8.2</v>
      </c>
      <c r="P17" s="33" t="n">
        <f aca="false">IFERROR(ABS(O17-$B$19),"")</f>
        <v>4.7</v>
      </c>
    </row>
    <row r="18" customFormat="false" ht="15" hidden="false" customHeight="false" outlineLevel="0" collapsed="false">
      <c r="A18" s="4" t="s">
        <v>294</v>
      </c>
      <c r="B18" s="24" t="n">
        <v>3500</v>
      </c>
      <c r="C18" s="11" t="s">
        <v>114</v>
      </c>
      <c r="D18" s="10" t="s">
        <v>295</v>
      </c>
      <c r="O18" s="32" t="n">
        <v>10</v>
      </c>
      <c r="P18" s="33" t="n">
        <f aca="false">IFERROR(ABS(O18-$B$19),"")</f>
        <v>6.5</v>
      </c>
    </row>
    <row r="19" customFormat="false" ht="15" hidden="false" customHeight="false" outlineLevel="0" collapsed="false">
      <c r="A19" s="4" t="s">
        <v>296</v>
      </c>
      <c r="B19" s="18" t="n">
        <f aca="false">IFERROR(B18/10^INT(LOG10(B18)),"")</f>
        <v>3.5</v>
      </c>
      <c r="C19" s="11"/>
      <c r="D19" s="10" t="s">
        <v>297</v>
      </c>
    </row>
    <row r="20" customFormat="false" ht="15" hidden="false" customHeight="false" outlineLevel="0" collapsed="false">
      <c r="A20" s="4" t="s">
        <v>298</v>
      </c>
      <c r="B20" s="27" t="n">
        <f aca="false">IFERROR(INDEX($O$6:$O$18,MATCH(MIN($P$6:$P$18),$P$6:$P$18,0))*10^INT(LOG10(B18)),"")</f>
        <v>3300</v>
      </c>
      <c r="C20" s="11" t="s">
        <v>114</v>
      </c>
      <c r="D20" s="10" t="s">
        <v>299</v>
      </c>
      <c r="F20" s="11" t="s">
        <v>300</v>
      </c>
    </row>
    <row r="21" customFormat="false" ht="15" hidden="false" customHeight="false" outlineLevel="0" collapsed="false">
      <c r="A21" s="4" t="s">
        <v>301</v>
      </c>
      <c r="B21" s="19" t="n">
        <f aca="false">IFERROR((B20-B18)/B18*100,"")</f>
        <v>-5.71428571428571</v>
      </c>
      <c r="C21" s="11" t="s">
        <v>85</v>
      </c>
    </row>
  </sheetData>
  <dataValidations count="4">
    <dataValidation allowBlank="false" errorStyle="stop" operator="between" showDropDown="false" showErrorMessage="false" showInputMessage="false" sqref="B6" type="list">
      <formula1>$F$6:$F$15</formula1>
      <formula2>0</formula2>
    </dataValidation>
    <dataValidation allowBlank="false" errorStyle="stop" operator="between" showDropDown="false" showErrorMessage="false" showInputMessage="false" sqref="B7" type="list">
      <formula1>$F$6:$F$15</formula1>
      <formula2>0</formula2>
    </dataValidation>
    <dataValidation allowBlank="false" errorStyle="stop" operator="between" showDropDown="false" showErrorMessage="false" showInputMessage="false" sqref="B8" type="list">
      <formula1>$I$6:$I$17</formula1>
      <formula2>0</formula2>
    </dataValidation>
    <dataValidation allowBlank="false" errorStyle="stop" operator="between" showDropDown="false" showErrorMessage="false" showInputMessage="false" sqref="B9" type="list">
      <formula1>$L$6:$L$14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  <col collapsed="false" customWidth="true" hidden="false" outlineLevel="0" max="4" min="4" style="0" width="3"/>
    <col collapsed="false" customWidth="true" hidden="false" outlineLevel="0" max="5" min="5" style="0" width="30"/>
    <col collapsed="false" customWidth="true" hidden="false" outlineLevel="0" max="6" min="6" style="0" width="26"/>
    <col collapsed="false" customWidth="true" hidden="false" outlineLevel="0" max="7" min="7" style="0" width="3"/>
  </cols>
  <sheetData>
    <row r="1" customFormat="false" ht="25.5" hidden="false" customHeight="true" outlineLevel="0" collapsed="false">
      <c r="A1" s="13" t="s">
        <v>37</v>
      </c>
    </row>
    <row r="2" customFormat="false" ht="15" hidden="false" customHeight="false" outlineLevel="0" collapsed="false">
      <c r="A2" s="14" t="s">
        <v>302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11" t="s">
        <v>303</v>
      </c>
    </row>
    <row r="6" customFormat="false" ht="15" hidden="false" customHeight="false" outlineLevel="0" collapsed="false">
      <c r="A6" s="22" t="s">
        <v>304</v>
      </c>
      <c r="B6" s="22" t="s">
        <v>305</v>
      </c>
      <c r="C6" s="22" t="s">
        <v>306</v>
      </c>
      <c r="E6" s="7" t="s">
        <v>307</v>
      </c>
      <c r="F6" s="34"/>
    </row>
    <row r="7" customFormat="false" ht="15" hidden="false" customHeight="false" outlineLevel="0" collapsed="false">
      <c r="A7" s="23" t="n">
        <v>1</v>
      </c>
      <c r="B7" s="15" t="n">
        <v>1</v>
      </c>
      <c r="C7" s="15" t="n">
        <v>1.02</v>
      </c>
      <c r="E7" s="4" t="s">
        <v>308</v>
      </c>
      <c r="F7" s="16" t="n">
        <f aca="false">COUNT(B7:B22)</f>
        <v>8</v>
      </c>
    </row>
    <row r="8" customFormat="false" ht="15" hidden="false" customHeight="false" outlineLevel="0" collapsed="false">
      <c r="A8" s="23" t="n">
        <v>2</v>
      </c>
      <c r="B8" s="15" t="n">
        <v>2</v>
      </c>
      <c r="C8" s="15" t="n">
        <v>2.05</v>
      </c>
      <c r="E8" s="4" t="s">
        <v>309</v>
      </c>
      <c r="F8" s="17" t="n">
        <f aca="false">IFERROR(SLOPE(C7:C22,B7:B22),"")</f>
        <v>0.995952380952381</v>
      </c>
    </row>
    <row r="9" customFormat="false" ht="15" hidden="false" customHeight="false" outlineLevel="0" collapsed="false">
      <c r="A9" s="23" t="n">
        <v>3</v>
      </c>
      <c r="B9" s="15" t="n">
        <v>3</v>
      </c>
      <c r="C9" s="15" t="n">
        <v>2.98</v>
      </c>
      <c r="E9" s="4" t="s">
        <v>310</v>
      </c>
      <c r="F9" s="17" t="n">
        <f aca="false">IFERROR(INTERCEPT(C7:C22,B7:B22),"")</f>
        <v>0.0332142857142852</v>
      </c>
    </row>
    <row r="10" customFormat="false" ht="15" hidden="false" customHeight="false" outlineLevel="0" collapsed="false">
      <c r="A10" s="23" t="n">
        <v>4</v>
      </c>
      <c r="B10" s="15" t="n">
        <v>4</v>
      </c>
      <c r="C10" s="15" t="n">
        <v>4.06</v>
      </c>
      <c r="E10" s="4" t="s">
        <v>311</v>
      </c>
      <c r="F10" s="17" t="n">
        <f aca="false">IFERROR(RSQ(C7:C22,B7:B22),"")</f>
        <v>0.999829318928239</v>
      </c>
    </row>
    <row r="11" customFormat="false" ht="15" hidden="false" customHeight="false" outlineLevel="0" collapsed="false">
      <c r="A11" s="23" t="n">
        <v>5</v>
      </c>
      <c r="B11" s="15" t="n">
        <v>5</v>
      </c>
      <c r="C11" s="15" t="n">
        <v>5.01</v>
      </c>
      <c r="E11" s="4" t="s">
        <v>312</v>
      </c>
      <c r="F11" s="20" t="str">
        <f aca="false">IF(F8="","","y = "&amp;ROUND(F8,4)&amp;"x "&amp;IF(F9&lt;0,"- ","+ ")&amp;ROUND(ABS(F9),4))</f>
        <v>y = 0.996x + 0.0332</v>
      </c>
    </row>
    <row r="12" customFormat="false" ht="15" hidden="false" customHeight="false" outlineLevel="0" collapsed="false">
      <c r="A12" s="23" t="n">
        <v>6</v>
      </c>
      <c r="B12" s="15" t="n">
        <v>6</v>
      </c>
      <c r="C12" s="15" t="n">
        <v>5.97</v>
      </c>
    </row>
    <row r="13" customFormat="false" ht="15" hidden="false" customHeight="false" outlineLevel="0" collapsed="false">
      <c r="A13" s="23" t="n">
        <v>7</v>
      </c>
      <c r="B13" s="15" t="n">
        <v>7</v>
      </c>
      <c r="C13" s="15" t="n">
        <v>7.04</v>
      </c>
      <c r="E13" s="7" t="s">
        <v>313</v>
      </c>
      <c r="F13" s="34"/>
    </row>
    <row r="14" customFormat="false" ht="15" hidden="false" customHeight="false" outlineLevel="0" collapsed="false">
      <c r="A14" s="23" t="n">
        <v>8</v>
      </c>
      <c r="B14" s="15" t="n">
        <v>8</v>
      </c>
      <c r="C14" s="15" t="n">
        <v>7.99</v>
      </c>
      <c r="E14" s="4" t="s">
        <v>314</v>
      </c>
      <c r="F14" s="21" t="n">
        <v>4.5</v>
      </c>
    </row>
    <row r="15" customFormat="false" ht="15" hidden="false" customHeight="false" outlineLevel="0" collapsed="false">
      <c r="A15" s="23" t="n">
        <v>9</v>
      </c>
      <c r="B15" s="15"/>
      <c r="C15" s="15"/>
      <c r="E15" s="4" t="s">
        <v>315</v>
      </c>
      <c r="F15" s="17" t="n">
        <f aca="false">IFERROR(F8*F14+F9,"")</f>
        <v>4.515</v>
      </c>
    </row>
    <row r="16" customFormat="false" ht="15" hidden="false" customHeight="false" outlineLevel="0" collapsed="false">
      <c r="A16" s="23" t="n">
        <v>10</v>
      </c>
      <c r="B16" s="15"/>
      <c r="C16" s="15"/>
    </row>
    <row r="17" customFormat="false" ht="15" hidden="false" customHeight="false" outlineLevel="0" collapsed="false">
      <c r="A17" s="23" t="n">
        <v>11</v>
      </c>
      <c r="B17" s="15"/>
      <c r="C17" s="15"/>
    </row>
    <row r="18" customFormat="false" ht="15" hidden="false" customHeight="false" outlineLevel="0" collapsed="false">
      <c r="A18" s="23" t="n">
        <v>12</v>
      </c>
      <c r="B18" s="15"/>
      <c r="C18" s="15"/>
    </row>
    <row r="19" customFormat="false" ht="15" hidden="false" customHeight="false" outlineLevel="0" collapsed="false">
      <c r="A19" s="23" t="n">
        <v>13</v>
      </c>
      <c r="B19" s="15"/>
      <c r="C19" s="15"/>
    </row>
    <row r="20" customFormat="false" ht="15" hidden="false" customHeight="false" outlineLevel="0" collapsed="false">
      <c r="A20" s="23" t="n">
        <v>14</v>
      </c>
      <c r="B20" s="15"/>
      <c r="C20" s="15"/>
    </row>
    <row r="21" customFormat="false" ht="15" hidden="false" customHeight="false" outlineLevel="0" collapsed="false">
      <c r="A21" s="23" t="n">
        <v>15</v>
      </c>
      <c r="B21" s="15"/>
      <c r="C21" s="15"/>
    </row>
    <row r="22" customFormat="false" ht="15" hidden="false" customHeight="false" outlineLevel="0" collapsed="false">
      <c r="A22" s="23" t="n">
        <v>16</v>
      </c>
      <c r="B22" s="15"/>
      <c r="C22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8A8F"/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50"/>
    <col collapsed="false" customWidth="true" hidden="false" outlineLevel="0" max="5" min="5" style="0" width="3"/>
    <col collapsed="false" customWidth="true" hidden="false" outlineLevel="0" max="6" min="6" style="0" width="14"/>
    <col collapsed="false" customWidth="true" hidden="false" outlineLevel="0" max="7" min="7" style="0" width="10"/>
  </cols>
  <sheetData>
    <row r="1" customFormat="false" ht="25.5" hidden="false" customHeight="true" outlineLevel="0" collapsed="false">
      <c r="A1" s="13" t="s">
        <v>40</v>
      </c>
    </row>
    <row r="2" customFormat="false" ht="15" hidden="false" customHeight="false" outlineLevel="0" collapsed="false">
      <c r="A2" s="14" t="s">
        <v>316</v>
      </c>
    </row>
    <row r="3" customFormat="false" ht="15" hidden="false" customHeight="false" outlineLevel="0" collapsed="false">
      <c r="A3" s="11" t="s">
        <v>52</v>
      </c>
    </row>
    <row r="5" customFormat="false" ht="15" hidden="false" customHeight="false" outlineLevel="0" collapsed="false">
      <c r="A5" s="7" t="s">
        <v>317</v>
      </c>
      <c r="B5" s="7"/>
      <c r="C5" s="7"/>
      <c r="D5" s="7"/>
      <c r="F5" s="22" t="s">
        <v>318</v>
      </c>
      <c r="G5" s="22" t="s">
        <v>319</v>
      </c>
    </row>
    <row r="6" customFormat="false" ht="15" hidden="false" customHeight="false" outlineLevel="0" collapsed="false">
      <c r="A6" s="4" t="s">
        <v>320</v>
      </c>
      <c r="B6" s="21" t="n">
        <v>4.7</v>
      </c>
      <c r="C6" s="11"/>
      <c r="F6" s="35" t="s">
        <v>321</v>
      </c>
      <c r="G6" s="36" t="n">
        <v>1000000000</v>
      </c>
    </row>
    <row r="7" customFormat="false" ht="15" hidden="false" customHeight="false" outlineLevel="0" collapsed="false">
      <c r="A7" s="4" t="s">
        <v>322</v>
      </c>
      <c r="B7" s="21" t="s">
        <v>323</v>
      </c>
      <c r="C7" s="11"/>
      <c r="D7" s="10" t="s">
        <v>324</v>
      </c>
      <c r="F7" s="35" t="s">
        <v>325</v>
      </c>
      <c r="G7" s="36" t="n">
        <v>1000000</v>
      </c>
    </row>
    <row r="8" customFormat="false" ht="15" hidden="false" customHeight="false" outlineLevel="0" collapsed="false">
      <c r="A8" s="4" t="s">
        <v>326</v>
      </c>
      <c r="B8" s="21" t="s">
        <v>327</v>
      </c>
      <c r="C8" s="11"/>
      <c r="D8" s="10" t="s">
        <v>324</v>
      </c>
      <c r="F8" s="35" t="s">
        <v>323</v>
      </c>
      <c r="G8" s="36" t="n">
        <v>1000</v>
      </c>
    </row>
    <row r="9" customFormat="false" ht="15" hidden="false" customHeight="false" outlineLevel="0" collapsed="false">
      <c r="A9" s="4" t="s">
        <v>328</v>
      </c>
      <c r="B9" s="37" t="n">
        <f aca="false">IFERROR(B6*INDEX($G$6:$G$13,MATCH(B7,$F$6:$F$13,0))/INDEX($G$6:$G$13,MATCH(B8,$F$6:$F$13,0)),"")</f>
        <v>4700</v>
      </c>
      <c r="C9" s="11"/>
      <c r="D9" s="10" t="s">
        <v>329</v>
      </c>
      <c r="F9" s="35" t="s">
        <v>327</v>
      </c>
      <c r="G9" s="36" t="n">
        <v>1</v>
      </c>
    </row>
    <row r="10" customFormat="false" ht="15" hidden="false" customHeight="false" outlineLevel="0" collapsed="false">
      <c r="F10" s="35" t="s">
        <v>330</v>
      </c>
      <c r="G10" s="36" t="n">
        <v>0.001</v>
      </c>
    </row>
    <row r="11" customFormat="false" ht="15" hidden="false" customHeight="false" outlineLevel="0" collapsed="false">
      <c r="A11" s="7" t="s">
        <v>331</v>
      </c>
      <c r="B11" s="7"/>
      <c r="C11" s="7"/>
      <c r="D11" s="7"/>
      <c r="F11" s="35" t="s">
        <v>332</v>
      </c>
      <c r="G11" s="36" t="n">
        <v>1E-006</v>
      </c>
    </row>
    <row r="12" customFormat="false" ht="15" hidden="false" customHeight="false" outlineLevel="0" collapsed="false">
      <c r="A12" s="4" t="s">
        <v>333</v>
      </c>
      <c r="B12" s="21" t="n">
        <v>10</v>
      </c>
      <c r="C12" s="11" t="s">
        <v>155</v>
      </c>
      <c r="F12" s="35" t="s">
        <v>334</v>
      </c>
      <c r="G12" s="36" t="n">
        <v>1E-009</v>
      </c>
    </row>
    <row r="13" customFormat="false" ht="15" hidden="false" customHeight="false" outlineLevel="0" collapsed="false">
      <c r="A13" s="4" t="s">
        <v>335</v>
      </c>
      <c r="B13" s="19" t="n">
        <f aca="false">IFERROR(20*LOG10(ABS(B12)),"")</f>
        <v>20</v>
      </c>
      <c r="C13" s="11" t="s">
        <v>336</v>
      </c>
      <c r="D13" s="10" t="s">
        <v>337</v>
      </c>
      <c r="F13" s="35" t="s">
        <v>338</v>
      </c>
      <c r="G13" s="36" t="n">
        <v>1E-012</v>
      </c>
    </row>
    <row r="14" customFormat="false" ht="15" hidden="false" customHeight="false" outlineLevel="0" collapsed="false">
      <c r="A14" s="4" t="s">
        <v>335</v>
      </c>
      <c r="B14" s="21" t="n">
        <v>40</v>
      </c>
      <c r="C14" s="11" t="s">
        <v>336</v>
      </c>
    </row>
    <row r="15" customFormat="false" ht="15" hidden="false" customHeight="false" outlineLevel="0" collapsed="false">
      <c r="A15" s="4" t="s">
        <v>154</v>
      </c>
      <c r="B15" s="18" t="n">
        <f aca="false">IFERROR(10^(B14/20),"")</f>
        <v>100</v>
      </c>
      <c r="C15" s="11" t="s">
        <v>155</v>
      </c>
      <c r="D15" s="10" t="s">
        <v>339</v>
      </c>
    </row>
    <row r="16" customFormat="false" ht="15" hidden="false" customHeight="false" outlineLevel="0" collapsed="false">
      <c r="A16" s="4" t="s">
        <v>340</v>
      </c>
      <c r="B16" s="21" t="n">
        <v>100</v>
      </c>
      <c r="C16" s="11"/>
    </row>
    <row r="17" customFormat="false" ht="15" hidden="false" customHeight="false" outlineLevel="0" collapsed="false">
      <c r="A17" s="4" t="s">
        <v>341</v>
      </c>
      <c r="B17" s="19" t="n">
        <f aca="false">IFERROR(10*LOG10(B16),"")</f>
        <v>20</v>
      </c>
      <c r="C17" s="11" t="s">
        <v>336</v>
      </c>
      <c r="D17" s="10" t="s">
        <v>342</v>
      </c>
    </row>
    <row r="19" customFormat="false" ht="15" hidden="false" customHeight="false" outlineLevel="0" collapsed="false">
      <c r="A19" s="7" t="s">
        <v>343</v>
      </c>
      <c r="B19" s="7"/>
      <c r="C19" s="7"/>
      <c r="D19" s="7"/>
    </row>
    <row r="20" customFormat="false" ht="15" hidden="false" customHeight="false" outlineLevel="0" collapsed="false">
      <c r="A20" s="4" t="s">
        <v>344</v>
      </c>
      <c r="B20" s="21" t="n">
        <v>90</v>
      </c>
      <c r="C20" s="11" t="s">
        <v>249</v>
      </c>
    </row>
    <row r="21" customFormat="false" ht="15" hidden="false" customHeight="false" outlineLevel="0" collapsed="false">
      <c r="A21" s="4" t="s">
        <v>345</v>
      </c>
      <c r="B21" s="17" t="n">
        <f aca="false">IFERROR(B20*PI()/180,"")</f>
        <v>1.5707963267949</v>
      </c>
      <c r="C21" s="11" t="s">
        <v>346</v>
      </c>
    </row>
    <row r="22" customFormat="false" ht="15" hidden="false" customHeight="false" outlineLevel="0" collapsed="false">
      <c r="A22" s="4" t="s">
        <v>345</v>
      </c>
      <c r="B22" s="21" t="n">
        <v>3.14159</v>
      </c>
      <c r="C22" s="11" t="s">
        <v>346</v>
      </c>
    </row>
    <row r="23" customFormat="false" ht="15" hidden="false" customHeight="false" outlineLevel="0" collapsed="false">
      <c r="A23" s="4" t="s">
        <v>344</v>
      </c>
      <c r="B23" s="19" t="n">
        <f aca="false">IFERROR(B22*180/PI(),"")</f>
        <v>179.999847960504</v>
      </c>
      <c r="C23" s="11" t="s">
        <v>249</v>
      </c>
    </row>
  </sheetData>
  <dataValidations count="2">
    <dataValidation allowBlank="false" errorStyle="stop" operator="between" showDropDown="false" showErrorMessage="false" showInputMessage="false" sqref="B7" type="list">
      <formula1>$F$6:$F$13</formula1>
      <formula2>0</formula2>
    </dataValidation>
    <dataValidation allowBlank="false" errorStyle="stop" operator="between" showDropDown="false" showErrorMessage="false" showInputMessage="false" sqref="B8" type="list">
      <formula1>$F$6:$F$13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2026-09-30T07:56:20Z</dcterms:created>
  <dc:creator>jauvenellambu@gmail.com</dc:creator>
  <dc:description/>
  <dc:language>en-US</dc:language>
  <cp:lastModifiedBy/>
  <dcterms:modified xsi:type="dcterms:W3CDTF">2026-09-30T07:56:22Z</dcterms:modified>
  <cp:revision>1</cp:revision>
  <dc:subject/>
  <dc:title>The Electrical Lab Toolkit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