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drawings/drawing4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5.xml" ContentType="application/vnd.openxmlformats-officedocument.drawing+xml"/>
  <Override PartName="/xl/worksheets/sheet12.xml" ContentType="application/vnd.openxmlformats-officedocument.spreadsheetml.worksheet+xml"/>
  <Override PartName="/xl/drawings/drawing6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Transactions" sheetId="5" state="visible" r:id="rId5"/>
    <sheet xmlns:r="http://schemas.openxmlformats.org/officeDocument/2006/relationships" name="Holdings" sheetId="6" state="visible" r:id="rId6"/>
    <sheet xmlns:r="http://schemas.openxmlformats.org/officeDocument/2006/relationships" name="Allocation" sheetId="7" state="visible" r:id="rId7"/>
    <sheet xmlns:r="http://schemas.openxmlformats.org/officeDocument/2006/relationships" name="Performance" sheetId="8" state="visible" r:id="rId8"/>
    <sheet xmlns:r="http://schemas.openxmlformats.org/officeDocument/2006/relationships" name="Dividends" sheetId="9" state="visible" r:id="rId9"/>
    <sheet xmlns:r="http://schemas.openxmlformats.org/officeDocument/2006/relationships" name="Watchlist" sheetId="10" state="visible" r:id="rId10"/>
    <sheet xmlns:r="http://schemas.openxmlformats.org/officeDocument/2006/relationships" name="Planner" sheetId="11" state="visible" r:id="rId11"/>
    <sheet xmlns:r="http://schemas.openxmlformats.org/officeDocument/2006/relationships" name="Risk" sheetId="12" state="visible" r:id="rId12"/>
    <sheet xmlns:r="http://schemas.openxmlformats.org/officeDocument/2006/relationships" name="Calculators" sheetId="13" state="visible" r:id="rId13"/>
    <sheet xmlns:r="http://schemas.openxmlformats.org/officeDocument/2006/relationships" name="Playbook" sheetId="14" state="visible" r:id="rId14"/>
    <sheet xmlns:r="http://schemas.openxmlformats.org/officeDocument/2006/relationships" name="Glossary" sheetId="15" state="visible" r:id="rId15"/>
    <sheet xmlns:r="http://schemas.openxmlformats.org/officeDocument/2006/relationships" name="Lists" sheetId="16" state="visible" r:id="rId16"/>
    <sheet xmlns:r="http://schemas.openxmlformats.org/officeDocument/2006/relationships" name="Data" sheetId="17" state="hidden" r:id="rId17"/>
  </sheets>
  <definedNames>
    <definedName name="_xlnm._FilterDatabase" localSheetId="4" hidden="1">'Transactions'!$A$5:$J$1005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yyyy-mm-dd"/>
    <numFmt numFmtId="165" formatCode="dd/mm/yyyy"/>
    <numFmt numFmtId="166" formatCode="#,##0.00;-#,##0.00;0.00"/>
    <numFmt numFmtId="167" formatCode="#,##0.####"/>
    <numFmt numFmtId="168" formatCode="#,##0.00##"/>
    <numFmt numFmtId="169" formatCode="#,##0.00####"/>
    <numFmt numFmtId="170" formatCode="+#,##0.00;-#,##0.00;0.00"/>
    <numFmt numFmtId="171" formatCode="+0.0%;-0.0%;0.0%"/>
    <numFmt numFmtId="172" formatCode="0.0%"/>
    <numFmt numFmtId="173" formatCode="mmm yy"/>
    <numFmt numFmtId="174" formatCode="0.0"/>
    <numFmt numFmtId="175" formatCode="0.000"/>
  </numFmts>
  <fonts count="27">
    <font>
      <name val="Calibri"/>
      <family val="2"/>
      <color theme="1"/>
      <sz val="11"/>
      <scheme val="minor"/>
    </font>
    <font>
      <name val="Arial"/>
      <b val="1"/>
      <color rgb="00C8A24A"/>
      <sz val="9"/>
    </font>
    <font>
      <name val="Arial"/>
      <b val="1"/>
      <color rgb="00FFFFFF"/>
      <sz val="20"/>
    </font>
    <font>
      <name val="Arial"/>
      <color rgb="00CBD5E1"/>
      <sz val="9"/>
    </font>
    <font>
      <name val="Arial"/>
      <b val="1"/>
      <color rgb="00C8A24A"/>
      <sz val="9"/>
      <u val="single"/>
    </font>
    <font>
      <name val="Arial"/>
      <b val="1"/>
      <color rgb="000B1D33"/>
      <sz val="11"/>
    </font>
    <font>
      <name val="Arial"/>
      <b val="1"/>
      <color rgb="00334155"/>
      <sz val="10"/>
    </font>
    <font>
      <name val="Arial"/>
      <color rgb="001D4ED8"/>
      <sz val="10"/>
    </font>
    <font>
      <name val="Arial"/>
      <i val="1"/>
      <color rgb="0064748B"/>
      <sz val="9"/>
    </font>
    <font>
      <name val="Arial"/>
      <color rgb="00334155"/>
      <sz val="10"/>
    </font>
    <font>
      <name val="Arial"/>
      <b val="1"/>
      <color rgb="00FFFFFF"/>
      <sz val="9"/>
    </font>
    <font>
      <name val="Arial"/>
      <color rgb="0064748B"/>
      <sz val="10"/>
    </font>
    <font>
      <name val="Arial"/>
      <b val="1"/>
      <color rgb="000B1D33"/>
      <sz val="10"/>
    </font>
    <font>
      <name val="Arial"/>
      <b val="1"/>
      <color rgb="00FFFFFF"/>
      <sz val="10"/>
    </font>
    <font>
      <name val="Arial"/>
      <color rgb="008A6A1F"/>
      <sz val="10"/>
    </font>
    <font>
      <name val="Arial"/>
      <b val="1"/>
      <color rgb="0064748B"/>
      <sz val="8"/>
    </font>
    <font>
      <name val="Arial"/>
      <b val="1"/>
      <color rgb="000B1D33"/>
      <sz val="20"/>
    </font>
    <font>
      <name val="Arial"/>
      <color rgb="0064748B"/>
      <sz val="8"/>
    </font>
    <font>
      <name val="Arial"/>
      <b val="1"/>
      <color rgb="000B1D33"/>
      <sz val="16"/>
    </font>
    <font>
      <name val="Arial"/>
      <color rgb="001E293B"/>
      <sz val="10"/>
    </font>
    <font>
      <name val="Arial"/>
      <b val="1"/>
      <color rgb="00FFFFFF"/>
      <sz val="14"/>
    </font>
    <font>
      <name val="Arial"/>
      <b val="1"/>
      <color rgb="001D4ED8"/>
      <sz val="10"/>
      <u val="single"/>
    </font>
    <font>
      <name val="Arial"/>
      <i val="1"/>
      <color rgb="0094A3B8"/>
      <sz val="8"/>
    </font>
    <font>
      <name val="Arial"/>
      <b val="1"/>
      <color rgb="00FFFFFF"/>
      <sz val="26"/>
    </font>
    <font>
      <name val="Arial"/>
      <b val="1"/>
      <color rgb="000B1D33"/>
      <sz val="22"/>
    </font>
    <font>
      <name val="Arial"/>
      <b val="1"/>
      <color rgb="000B1D33"/>
      <sz val="12"/>
    </font>
    <font>
      <name val="Arial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0B1D33"/>
      </patternFill>
    </fill>
    <fill>
      <patternFill patternType="solid">
        <fgColor rgb="00C8A24A"/>
      </patternFill>
    </fill>
    <fill>
      <patternFill patternType="solid">
        <fgColor rgb="00F1F5F9"/>
      </patternFill>
    </fill>
    <fill>
      <patternFill patternType="solid">
        <fgColor rgb="00EFF6FF"/>
      </patternFill>
    </fill>
    <fill>
      <patternFill patternType="solid">
        <fgColor rgb="00F8FAFC"/>
      </patternFill>
    </fill>
    <fill>
      <patternFill patternType="solid">
        <fgColor rgb="00334155"/>
      </patternFill>
    </fill>
    <fill>
      <patternFill patternType="solid">
        <fgColor rgb="00FFFFFF"/>
      </patternFill>
    </fill>
  </fills>
  <borders count="33">
    <border>
      <left/>
      <right/>
      <top/>
      <bottom/>
      <diagonal/>
    </border>
    <border>
      <bottom style="medium">
        <color rgb="00C8A24A"/>
      </bottom>
    </border>
    <border>
      <left style="thick">
        <color rgb="00C8A24A"/>
      </left>
      <bottom style="medium">
        <color rgb="00C8A24A"/>
      </bottom>
    </border>
    <border>
      <bottom style="medium">
        <color rgb="003B82F6"/>
      </bottom>
    </border>
    <border>
      <left style="thick">
        <color rgb="003B82F6"/>
      </left>
      <bottom style="medium">
        <color rgb="003B82F6"/>
      </bottom>
    </border>
    <border>
      <left style="thin">
        <color rgb="00BFDBFE"/>
      </left>
      <right style="thin">
        <color rgb="00BFDBFE"/>
      </right>
      <top style="thin">
        <color rgb="00BFDBFE"/>
      </top>
      <bottom style="thin">
        <color rgb="00BFDBFE"/>
      </bottom>
    </border>
    <border>
      <bottom style="medium">
        <color rgb="008B5CF6"/>
      </bottom>
    </border>
    <border>
      <left style="thick">
        <color rgb="008B5CF6"/>
      </left>
      <bottom style="medium">
        <color rgb="008B5CF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0B1D33"/>
      </left>
      <right style="thin">
        <color rgb="000B1D33"/>
      </right>
      <top style="thin">
        <color rgb="000B1D33"/>
      </top>
      <bottom style="thin">
        <color rgb="000B1D33"/>
      </bottom>
    </border>
    <border>
      <bottom style="medium">
        <color rgb="00EF4444"/>
      </bottom>
    </border>
    <border>
      <left style="thick">
        <color rgb="00EF4444"/>
      </left>
      <bottom style="medium">
        <color rgb="00EF4444"/>
      </bottom>
    </border>
    <border>
      <bottom style="medium">
        <color rgb="00F59E0B"/>
      </bottom>
    </border>
    <border>
      <left style="thick">
        <color rgb="00F59E0B"/>
      </left>
      <bottom style="medium">
        <color rgb="00F59E0B"/>
      </bottom>
    </border>
    <border>
      <left style="thick">
        <color rgb="00FFFFFF"/>
      </left>
      <right style="thick">
        <color rgb="00FFFFFF"/>
      </right>
      <top style="thick">
        <color rgb="00C8A24A"/>
      </top>
    </border>
    <border>
      <left style="thick">
        <color rgb="00FFFFFF"/>
      </left>
      <right style="thick">
        <color rgb="00FFFFFF"/>
      </right>
    </border>
    <border>
      <left style="thick">
        <color rgb="00FFFFFF"/>
      </left>
      <right style="thick">
        <color rgb="00FFFFFF"/>
      </right>
      <top style="thick">
        <color rgb="003B82F6"/>
      </top>
    </border>
    <border>
      <left style="thick">
        <color rgb="00FFFFFF"/>
      </left>
      <right style="thick">
        <color rgb="00FFFFFF"/>
      </right>
      <top style="thick">
        <color rgb="0010B981"/>
      </top>
    </border>
    <border>
      <left style="thick">
        <color rgb="00FFFFFF"/>
      </left>
      <right style="thick">
        <color rgb="00FFFFFF"/>
      </right>
      <top style="thick">
        <color rgb="008B5CF6"/>
      </top>
    </border>
    <border>
      <left style="thick">
        <color rgb="00FFFFFF"/>
      </left>
      <right style="thick">
        <color rgb="00FFFFFF"/>
      </right>
      <top style="thick">
        <color rgb="00EF4444"/>
      </top>
    </border>
    <border>
      <left style="thick">
        <color rgb="00FFFFFF"/>
      </left>
      <right style="thick">
        <color rgb="00FFFFFF"/>
      </right>
      <top style="thick">
        <color rgb="00F59E0B"/>
      </top>
    </border>
    <border>
      <left style="thick">
        <color rgb="00C8A24A"/>
      </left>
      <right style="thin">
        <color rgb="00E2E8F0"/>
      </right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ck">
        <color rgb="00C8A24A"/>
      </left>
      <right style="thin">
        <color rgb="00E2E8F0"/>
      </right>
      <bottom style="thin">
        <color rgb="00E2E8F0"/>
      </bottom>
    </border>
    <border>
      <left style="thick">
        <color rgb="003B82F6"/>
      </left>
      <right style="thin">
        <color rgb="00E2E8F0"/>
      </right>
      <top style="thin">
        <color rgb="00E2E8F0"/>
      </top>
    </border>
    <border>
      <left style="thick">
        <color rgb="003B82F6"/>
      </left>
      <right style="thin">
        <color rgb="00E2E8F0"/>
      </right>
      <bottom style="thin">
        <color rgb="00E2E8F0"/>
      </bottom>
    </border>
    <border>
      <left style="thick">
        <color rgb="008B5CF6"/>
      </left>
      <right style="thin">
        <color rgb="00E2E8F0"/>
      </right>
      <top style="thin">
        <color rgb="00E2E8F0"/>
      </top>
    </border>
    <border>
      <left style="thick">
        <color rgb="008B5CF6"/>
      </left>
      <right style="thin">
        <color rgb="00E2E8F0"/>
      </right>
      <bottom style="thin">
        <color rgb="00E2E8F0"/>
      </bottom>
    </border>
    <border>
      <bottom style="medium">
        <color rgb="0064748B"/>
      </bottom>
    </border>
    <border>
      <left style="thick">
        <color rgb="0064748B"/>
      </left>
      <bottom style="medium">
        <color rgb="0064748B"/>
      </bottom>
    </border>
    <border>
      <left style="thick">
        <color rgb="0064748B"/>
      </left>
      <right style="thin">
        <color rgb="00E2E8F0"/>
      </right>
      <top style="thin">
        <color rgb="00E2E8F0"/>
      </top>
    </border>
    <border>
      <left style="thick">
        <color rgb="0064748B"/>
      </left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1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3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0" fillId="3" borderId="0" pivotButton="0" quotePrefix="0" xfId="0"/>
    <xf numFmtId="0" fontId="15" fillId="6" borderId="15" applyAlignment="1" pivotButton="0" quotePrefix="0" xfId="0">
      <alignment vertical="center" indent="1"/>
    </xf>
    <xf numFmtId="0" fontId="15" fillId="6" borderId="18" applyAlignment="1" pivotButton="0" quotePrefix="0" xfId="0">
      <alignment vertical="center" indent="1"/>
    </xf>
    <xf numFmtId="0" fontId="15" fillId="6" borderId="17" applyAlignment="1" pivotButton="0" quotePrefix="0" xfId="0">
      <alignment vertical="center" indent="1"/>
    </xf>
    <xf numFmtId="0" fontId="15" fillId="6" borderId="19" applyAlignment="1" pivotButton="0" quotePrefix="0" xfId="0">
      <alignment vertical="center" indent="1"/>
    </xf>
    <xf numFmtId="166" fontId="24" fillId="6" borderId="16" applyAlignment="1" pivotButton="0" quotePrefix="0" xfId="0">
      <alignment horizontal="left" vertical="center" indent="1"/>
    </xf>
    <xf numFmtId="170" fontId="24" fillId="6" borderId="16" applyAlignment="1" pivotButton="0" quotePrefix="0" xfId="0">
      <alignment horizontal="left" vertical="center" indent="1"/>
    </xf>
    <xf numFmtId="172" fontId="24" fillId="6" borderId="16" applyAlignment="1" pivotButton="0" quotePrefix="0" xfId="0">
      <alignment horizontal="left" vertical="center" indent="1"/>
    </xf>
    <xf numFmtId="0" fontId="5" fillId="4" borderId="2" applyAlignment="1" pivotButton="0" quotePrefix="0" xfId="0">
      <alignment vertical="center" indent="1"/>
    </xf>
    <xf numFmtId="0" fontId="0" fillId="4" borderId="1" pivotButton="0" quotePrefix="0" xfId="0"/>
    <xf numFmtId="0" fontId="25" fillId="6" borderId="22" applyAlignment="1" pivotButton="0" quotePrefix="0" xfId="0">
      <alignment vertical="center"/>
    </xf>
    <xf numFmtId="0" fontId="25" fillId="6" borderId="23" applyAlignment="1" pivotButton="0" quotePrefix="0" xfId="0">
      <alignment vertical="center"/>
    </xf>
    <xf numFmtId="0" fontId="26" fillId="6" borderId="24" applyAlignment="1" pivotButton="0" quotePrefix="0" xfId="0">
      <alignment vertical="center" wrapText="1" indent="1"/>
    </xf>
    <xf numFmtId="0" fontId="5" fillId="4" borderId="4" applyAlignment="1" pivotButton="0" quotePrefix="0" xfId="0">
      <alignment vertical="center" indent="1"/>
    </xf>
    <xf numFmtId="0" fontId="0" fillId="4" borderId="3" pivotButton="0" quotePrefix="0" xfId="0"/>
    <xf numFmtId="0" fontId="25" fillId="6" borderId="25" applyAlignment="1" pivotButton="0" quotePrefix="0" xfId="0">
      <alignment vertical="center"/>
    </xf>
    <xf numFmtId="0" fontId="26" fillId="6" borderId="26" applyAlignment="1" pivotButton="0" quotePrefix="0" xfId="0">
      <alignment vertical="center" wrapText="1" indent="1"/>
    </xf>
    <xf numFmtId="0" fontId="5" fillId="4" borderId="7" applyAlignment="1" pivotButton="0" quotePrefix="0" xfId="0">
      <alignment vertical="center" indent="1"/>
    </xf>
    <xf numFmtId="0" fontId="0" fillId="4" borderId="6" pivotButton="0" quotePrefix="0" xfId="0"/>
    <xf numFmtId="0" fontId="25" fillId="6" borderId="27" applyAlignment="1" pivotButton="0" quotePrefix="0" xfId="0">
      <alignment vertical="center"/>
    </xf>
    <xf numFmtId="0" fontId="26" fillId="6" borderId="28" applyAlignment="1" pivotButton="0" quotePrefix="0" xfId="0">
      <alignment vertical="center" wrapText="1" indent="1"/>
    </xf>
    <xf numFmtId="0" fontId="5" fillId="4" borderId="30" applyAlignment="1" pivotButton="0" quotePrefix="0" xfId="0">
      <alignment vertical="center" indent="1"/>
    </xf>
    <xf numFmtId="0" fontId="0" fillId="4" borderId="29" pivotButton="0" quotePrefix="0" xfId="0"/>
    <xf numFmtId="0" fontId="25" fillId="6" borderId="31" applyAlignment="1" pivotButton="0" quotePrefix="0" xfId="0">
      <alignment vertical="center"/>
    </xf>
    <xf numFmtId="0" fontId="26" fillId="6" borderId="32" applyAlignment="1" pivotButton="0" quotePrefix="0" xfId="0">
      <alignment vertical="center" wrapText="1" indent="1"/>
    </xf>
    <xf numFmtId="0" fontId="22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20" fillId="2" borderId="9" applyAlignment="1" pivotButton="0" quotePrefix="0" xfId="0">
      <alignment horizontal="center" vertical="center"/>
    </xf>
    <xf numFmtId="0" fontId="12" fillId="6" borderId="8" applyAlignment="1" pivotButton="0" quotePrefix="0" xfId="0">
      <alignment vertical="center" wrapText="1" indent="1"/>
    </xf>
    <xf numFmtId="0" fontId="21" fillId="6" borderId="8" applyAlignment="1" pivotButton="0" quotePrefix="0" xfId="0">
      <alignment horizontal="center" vertical="center"/>
    </xf>
    <xf numFmtId="0" fontId="9" fillId="6" borderId="8" applyAlignment="1" pivotButton="0" quotePrefix="0" xfId="0">
      <alignment vertical="center" wrapText="1" indent="1"/>
    </xf>
    <xf numFmtId="0" fontId="5" fillId="4" borderId="14" applyAlignment="1" pivotButton="0" quotePrefix="0" xfId="0">
      <alignment vertical="center" indent="1"/>
    </xf>
    <xf numFmtId="0" fontId="0" fillId="4" borderId="13" pivotButton="0" quotePrefix="0" xfId="0"/>
    <xf numFmtId="0" fontId="22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indent="1"/>
    </xf>
    <xf numFmtId="0" fontId="7" fillId="5" borderId="5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indent="1"/>
    </xf>
    <xf numFmtId="165" fontId="7" fillId="5" borderId="5" applyAlignment="1" pivotButton="0" quotePrefix="0" xfId="0">
      <alignment horizontal="center" vertical="center"/>
    </xf>
    <xf numFmtId="1" fontId="7" fillId="5" borderId="5" applyAlignment="1" pivotButton="0" quotePrefix="0" xfId="0">
      <alignment horizontal="center" vertical="center"/>
    </xf>
    <xf numFmtId="166" fontId="7" fillId="5" borderId="5" applyAlignment="1" pivotButton="0" quotePrefix="0" xfId="0">
      <alignment horizontal="center" vertical="center"/>
    </xf>
    <xf numFmtId="9" fontId="7" fillId="5" borderId="5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indent="1"/>
    </xf>
    <xf numFmtId="0" fontId="9" fillId="6" borderId="8" applyAlignment="1" pivotButton="0" quotePrefix="0" xfId="0">
      <alignment horizontal="center" vertical="center"/>
    </xf>
    <xf numFmtId="0" fontId="15" fillId="6" borderId="15" applyAlignment="1" pivotButton="0" quotePrefix="0" xfId="0">
      <alignment horizontal="left" vertical="center" indent="1"/>
    </xf>
    <xf numFmtId="0" fontId="15" fillId="6" borderId="17" applyAlignment="1" pivotButton="0" quotePrefix="0" xfId="0">
      <alignment horizontal="left" vertical="center" indent="1"/>
    </xf>
    <xf numFmtId="0" fontId="15" fillId="6" borderId="18" applyAlignment="1" pivotButton="0" quotePrefix="0" xfId="0">
      <alignment horizontal="left" vertical="center" indent="1"/>
    </xf>
    <xf numFmtId="0" fontId="15" fillId="6" borderId="19" applyAlignment="1" pivotButton="0" quotePrefix="0" xfId="0">
      <alignment horizontal="left" vertical="center" indent="1"/>
    </xf>
    <xf numFmtId="166" fontId="16" fillId="6" borderId="16" applyAlignment="1" pivotButton="0" quotePrefix="0" xfId="0">
      <alignment horizontal="left" vertical="center" indent="1"/>
    </xf>
    <xf numFmtId="170" fontId="16" fillId="6" borderId="16" applyAlignment="1" pivotButton="0" quotePrefix="0" xfId="0">
      <alignment horizontal="left" vertical="center" indent="1"/>
    </xf>
    <xf numFmtId="171" fontId="16" fillId="6" borderId="16" applyAlignment="1" pivotButton="0" quotePrefix="0" xfId="0">
      <alignment horizontal="left" vertical="center" indent="1"/>
    </xf>
    <xf numFmtId="0" fontId="17" fillId="6" borderId="16" applyAlignment="1" pivotButton="0" quotePrefix="0" xfId="0">
      <alignment horizontal="left" vertical="center" indent="1"/>
    </xf>
    <xf numFmtId="0" fontId="15" fillId="6" borderId="20" applyAlignment="1" pivotButton="0" quotePrefix="0" xfId="0">
      <alignment horizontal="left" vertical="center" indent="1"/>
    </xf>
    <xf numFmtId="0" fontId="15" fillId="6" borderId="21" applyAlignment="1" pivotButton="0" quotePrefix="0" xfId="0">
      <alignment horizontal="left" vertical="center" indent="1"/>
    </xf>
    <xf numFmtId="1" fontId="16" fillId="6" borderId="16" applyAlignment="1" pivotButton="0" quotePrefix="0" xfId="0">
      <alignment horizontal="left" vertical="center" indent="1"/>
    </xf>
    <xf numFmtId="0" fontId="18" fillId="6" borderId="16" applyAlignment="1" pivotButton="0" quotePrefix="0" xfId="0">
      <alignment horizontal="left" vertical="center" indent="1"/>
    </xf>
    <xf numFmtId="172" fontId="16" fillId="6" borderId="16" applyAlignment="1" pivotButton="0" quotePrefix="0" xfId="0">
      <alignment horizontal="left" vertical="center" indent="1"/>
    </xf>
    <xf numFmtId="10" fontId="16" fillId="6" borderId="16" applyAlignment="1" pivotButton="0" quotePrefix="0" xfId="0">
      <alignment horizontal="left" vertical="center" indent="1"/>
    </xf>
    <xf numFmtId="0" fontId="15" fillId="6" borderId="8" applyAlignment="1" pivotButton="0" quotePrefix="0" xfId="0">
      <alignment horizontal="center" vertical="center"/>
    </xf>
    <xf numFmtId="0" fontId="19" fillId="6" borderId="8" applyAlignment="1" pivotButton="0" quotePrefix="0" xfId="0">
      <alignment vertical="center" wrapText="1" indent="1"/>
    </xf>
    <xf numFmtId="0" fontId="15" fillId="8" borderId="8" applyAlignment="1" pivotButton="0" quotePrefix="0" xfId="0">
      <alignment horizontal="center" vertical="center"/>
    </xf>
    <xf numFmtId="0" fontId="19" fillId="8" borderId="8" applyAlignment="1" pivotButton="0" quotePrefix="0" xfId="0">
      <alignment vertical="center" wrapText="1" indent="1"/>
    </xf>
    <xf numFmtId="0" fontId="10" fillId="2" borderId="9" applyAlignment="1" pivotButton="0" quotePrefix="0" xfId="0">
      <alignment horizontal="center" vertical="center" wrapText="1"/>
    </xf>
    <xf numFmtId="0" fontId="10" fillId="7" borderId="9" applyAlignment="1" pivotButton="0" quotePrefix="0" xfId="0">
      <alignment horizontal="center" vertical="center" wrapText="1"/>
    </xf>
    <xf numFmtId="1" fontId="11" fillId="6" borderId="8" applyAlignment="1" pivotButton="0" quotePrefix="0" xfId="0">
      <alignment horizontal="center" vertical="center"/>
    </xf>
    <xf numFmtId="167" fontId="7" fillId="5" borderId="5" applyAlignment="1" pivotButton="0" quotePrefix="0" xfId="0">
      <alignment vertical="center"/>
    </xf>
    <xf numFmtId="168" fontId="7" fillId="5" borderId="5" applyAlignment="1" pivotButton="0" quotePrefix="0" xfId="0">
      <alignment vertical="center"/>
    </xf>
    <xf numFmtId="166" fontId="7" fillId="5" borderId="5" applyAlignment="1" pivotButton="0" quotePrefix="0" xfId="0">
      <alignment vertical="center"/>
    </xf>
    <xf numFmtId="0" fontId="7" fillId="5" borderId="5" applyAlignment="1" pivotButton="0" quotePrefix="0" xfId="0">
      <alignment vertical="center"/>
    </xf>
    <xf numFmtId="166" fontId="9" fillId="6" borderId="8" applyAlignment="1" pivotButton="0" quotePrefix="0" xfId="0">
      <alignment vertical="center"/>
    </xf>
    <xf numFmtId="166" fontId="6" fillId="6" borderId="8" applyAlignment="1" pivotButton="0" quotePrefix="0" xfId="0">
      <alignment vertical="center"/>
    </xf>
    <xf numFmtId="165" fontId="9" fillId="6" borderId="8" applyAlignment="1" pivotButton="0" quotePrefix="0" xfId="0">
      <alignment vertical="center"/>
    </xf>
    <xf numFmtId="1" fontId="9" fillId="6" borderId="8" applyAlignment="1" pivotButton="0" quotePrefix="0" xfId="0">
      <alignment vertical="center"/>
    </xf>
    <xf numFmtId="167" fontId="9" fillId="6" borderId="8" applyAlignment="1" pivotButton="0" quotePrefix="0" xfId="0">
      <alignment horizontal="center" vertical="center"/>
    </xf>
    <xf numFmtId="169" fontId="9" fillId="6" borderId="8" applyAlignment="1" pivotButton="0" quotePrefix="0" xfId="0">
      <alignment vertical="center"/>
    </xf>
    <xf numFmtId="169" fontId="7" fillId="5" borderId="5" applyAlignment="1" pivotButton="0" quotePrefix="0" xfId="0">
      <alignment vertical="center"/>
    </xf>
    <xf numFmtId="166" fontId="12" fillId="6" borderId="8" applyAlignment="1" pivotButton="0" quotePrefix="0" xfId="0">
      <alignment vertical="center"/>
    </xf>
    <xf numFmtId="170" fontId="9" fillId="6" borderId="8" applyAlignment="1" pivotButton="0" quotePrefix="0" xfId="0">
      <alignment vertical="center"/>
    </xf>
    <xf numFmtId="171" fontId="9" fillId="6" borderId="8" applyAlignment="1" pivotButton="0" quotePrefix="0" xfId="0">
      <alignment horizontal="center" vertical="center"/>
    </xf>
    <xf numFmtId="170" fontId="6" fillId="6" borderId="8" applyAlignment="1" pivotButton="0" quotePrefix="0" xfId="0">
      <alignment vertical="center"/>
    </xf>
    <xf numFmtId="172" fontId="9" fillId="6" borderId="8" applyAlignment="1" pivotButton="0" quotePrefix="0" xfId="0">
      <alignment horizontal="center" vertical="center"/>
    </xf>
    <xf numFmtId="0" fontId="13" fillId="2" borderId="10" applyAlignment="1" pivotButton="0" quotePrefix="0" xfId="0">
      <alignment vertical="center" indent="1"/>
    </xf>
    <xf numFmtId="0" fontId="9" fillId="4" borderId="8" applyAlignment="1" pivotButton="0" quotePrefix="0" xfId="0">
      <alignment vertical="center"/>
    </xf>
    <xf numFmtId="166" fontId="12" fillId="4" borderId="8" applyAlignment="1" pivotButton="0" quotePrefix="0" xfId="0">
      <alignment vertical="center"/>
    </xf>
    <xf numFmtId="170" fontId="12" fillId="4" borderId="8" applyAlignment="1" pivotButton="0" quotePrefix="0" xfId="0">
      <alignment vertical="center"/>
    </xf>
    <xf numFmtId="171" fontId="12" fillId="4" borderId="8" applyAlignment="1" pivotButton="0" quotePrefix="0" xfId="0">
      <alignment horizontal="center" vertical="center"/>
    </xf>
    <xf numFmtId="9" fontId="12" fillId="4" borderId="8" applyAlignment="1" pivotButton="0" quotePrefix="0" xfId="0">
      <alignment horizontal="center" vertical="center"/>
    </xf>
    <xf numFmtId="0" fontId="6" fillId="6" borderId="8" applyAlignment="1" pivotButton="0" quotePrefix="0" xfId="0">
      <alignment vertical="center" indent="1"/>
    </xf>
    <xf numFmtId="0" fontId="12" fillId="6" borderId="8" applyAlignment="1" pivotButton="0" quotePrefix="0" xfId="0">
      <alignment vertical="center"/>
    </xf>
    <xf numFmtId="171" fontId="6" fillId="6" borderId="8" applyAlignment="1" pivotButton="0" quotePrefix="0" xfId="0">
      <alignment horizontal="center" vertical="center"/>
    </xf>
    <xf numFmtId="0" fontId="6" fillId="6" borderId="8" applyAlignment="1" pivotButton="0" quotePrefix="0" xfId="0">
      <alignment horizontal="center" vertical="center"/>
    </xf>
    <xf numFmtId="0" fontId="9" fillId="6" borderId="8" applyAlignment="1" pivotButton="0" quotePrefix="0" xfId="0">
      <alignment vertical="center"/>
    </xf>
    <xf numFmtId="173" fontId="12" fillId="6" borderId="8" applyAlignment="1" pivotButton="0" quotePrefix="0" xfId="0">
      <alignment horizontal="center" vertical="center"/>
    </xf>
    <xf numFmtId="173" fontId="12" fillId="8" borderId="8" applyAlignment="1" pivotButton="0" quotePrefix="0" xfId="0">
      <alignment horizontal="center" vertical="center"/>
    </xf>
    <xf numFmtId="170" fontId="9" fillId="8" borderId="8" applyAlignment="1" pivotButton="0" quotePrefix="0" xfId="0">
      <alignment vertical="center"/>
    </xf>
    <xf numFmtId="166" fontId="9" fillId="8" borderId="8" applyAlignment="1" pivotButton="0" quotePrefix="0" xfId="0">
      <alignment vertical="center"/>
    </xf>
    <xf numFmtId="171" fontId="9" fillId="8" borderId="8" applyAlignment="1" pivotButton="0" quotePrefix="0" xfId="0">
      <alignment horizontal="center" vertical="center"/>
    </xf>
    <xf numFmtId="171" fontId="6" fillId="8" borderId="8" applyAlignment="1" pivotButton="0" quotePrefix="0" xfId="0">
      <alignment horizontal="center" vertical="center"/>
    </xf>
    <xf numFmtId="170" fontId="6" fillId="8" borderId="8" applyAlignment="1" pivotButton="0" quotePrefix="0" xfId="0">
      <alignment vertical="center"/>
    </xf>
    <xf numFmtId="0" fontId="12" fillId="6" borderId="8" applyAlignment="1" pivotButton="0" quotePrefix="0" xfId="0">
      <alignment horizontal="center" vertical="center"/>
    </xf>
    <xf numFmtId="9" fontId="9" fillId="6" borderId="8" applyAlignment="1" pivotButton="0" quotePrefix="0" xfId="0">
      <alignment horizontal="center" vertical="center"/>
    </xf>
    <xf numFmtId="0" fontId="13" fillId="2" borderId="10" applyAlignment="1" pivotButton="0" quotePrefix="0" xfId="0">
      <alignment horizontal="center" vertical="center"/>
    </xf>
    <xf numFmtId="0" fontId="12" fillId="4" borderId="8" applyAlignment="1" pivotButton="0" quotePrefix="0" xfId="0">
      <alignment horizontal="center" vertical="center"/>
    </xf>
    <xf numFmtId="0" fontId="9" fillId="6" borderId="8" applyAlignment="1" pivotButton="0" quotePrefix="0" xfId="0">
      <alignment vertical="center" indent="1"/>
    </xf>
    <xf numFmtId="1" fontId="9" fillId="6" borderId="8" applyAlignment="1" pivotButton="0" quotePrefix="0" xfId="0">
      <alignment horizontal="center" vertical="center"/>
    </xf>
    <xf numFmtId="3" fontId="9" fillId="6" borderId="8" applyAlignment="1" pivotButton="0" quotePrefix="0" xfId="0">
      <alignment vertical="center"/>
    </xf>
    <xf numFmtId="3" fontId="14" fillId="6" borderId="8" applyAlignment="1" pivotButton="0" quotePrefix="0" xfId="0">
      <alignment vertical="center"/>
    </xf>
    <xf numFmtId="172" fontId="7" fillId="5" borderId="5" applyAlignment="1" pivotButton="0" quotePrefix="0" xfId="0">
      <alignment horizontal="center" vertical="center"/>
    </xf>
    <xf numFmtId="10" fontId="9" fillId="6" borderId="8" applyAlignment="1" pivotButton="0" quotePrefix="0" xfId="0">
      <alignment horizontal="center" vertical="center"/>
    </xf>
    <xf numFmtId="166" fontId="12" fillId="6" borderId="8" applyAlignment="1" pivotButton="0" quotePrefix="0" xfId="0">
      <alignment horizontal="center" vertical="center"/>
    </xf>
    <xf numFmtId="172" fontId="12" fillId="6" borderId="8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/>
    </xf>
    <xf numFmtId="166" fontId="9" fillId="6" borderId="8" applyAlignment="1" pivotButton="0" quotePrefix="0" xfId="0">
      <alignment horizontal="center" vertical="center"/>
    </xf>
    <xf numFmtId="0" fontId="8" fillId="4" borderId="0" applyAlignment="1" pivotButton="0" quotePrefix="0" xfId="0">
      <alignment vertical="center" wrapText="1" indent="1"/>
    </xf>
    <xf numFmtId="0" fontId="5" fillId="4" borderId="12" applyAlignment="1" pivotButton="0" quotePrefix="0" xfId="0">
      <alignment vertical="center" indent="1"/>
    </xf>
    <xf numFmtId="0" fontId="0" fillId="4" borderId="11" pivotButton="0" quotePrefix="0" xfId="0"/>
    <xf numFmtId="1" fontId="12" fillId="6" borderId="8" applyAlignment="1" pivotButton="0" quotePrefix="0" xfId="0">
      <alignment horizontal="center" vertical="center"/>
    </xf>
    <xf numFmtId="175" fontId="12" fillId="6" borderId="8" applyAlignment="1" pivotButton="0" quotePrefix="0" xfId="0">
      <alignment horizontal="center" vertical="center"/>
    </xf>
    <xf numFmtId="174" fontId="7" fillId="5" borderId="5" applyAlignment="1" pivotButton="0" quotePrefix="0" xfId="0">
      <alignment horizontal="center" vertical="center"/>
    </xf>
    <xf numFmtId="0" fontId="10" fillId="2" borderId="9" applyAlignment="1" pivotButton="0" quotePrefix="0" xfId="0">
      <alignment horizontal="left" vertical="center" wrapText="1"/>
    </xf>
    <xf numFmtId="9" fontId="7" fillId="5" borderId="5" applyAlignment="1" pivotButton="0" quotePrefix="0" xfId="0">
      <alignment horizontal="left" vertical="center"/>
    </xf>
    <xf numFmtId="10" fontId="12" fillId="6" borderId="8" applyAlignment="1" pivotButton="0" quotePrefix="0" xfId="0">
      <alignment horizontal="center" vertical="center"/>
    </xf>
    <xf numFmtId="10" fontId="7" fillId="5" borderId="5" applyAlignment="1" pivotButton="0" quotePrefix="0" xfId="0">
      <alignment horizontal="center" vertical="center"/>
    </xf>
    <xf numFmtId="169" fontId="7" fillId="5" borderId="5" applyAlignment="1" pivotButton="0" quotePrefix="0" xfId="0">
      <alignment horizontal="center" vertical="center"/>
    </xf>
    <xf numFmtId="4" fontId="12" fillId="6" borderId="8" applyAlignment="1" pivotButton="0" quotePrefix="0" xfId="0">
      <alignment horizontal="center" vertical="center"/>
    </xf>
    <xf numFmtId="0" fontId="12" fillId="8" borderId="8" applyAlignment="1" pivotButton="0" quotePrefix="0" xfId="0">
      <alignment vertical="center" wrapText="1" indent="1"/>
    </xf>
    <xf numFmtId="0" fontId="9" fillId="8" borderId="8" applyAlignment="1" pivotButton="0" quotePrefix="0" xfId="0">
      <alignment vertical="center" wrapText="1" indent="1"/>
    </xf>
  </cellXfs>
  <cellStyles count="1">
    <cellStyle name="Normal" xfId="0" builtinId="0" hidden="0"/>
  </cellStyles>
  <dxfs count="11">
    <dxf>
      <font>
        <name val="Arial"/>
        <b val="1"/>
        <color rgb="00047857"/>
        <sz val="8"/>
      </font>
      <fill>
        <patternFill patternType="solid">
          <fgColor rgb="00D1FAE5"/>
        </patternFill>
      </fill>
    </dxf>
    <dxf>
      <font>
        <name val="Arial"/>
        <b val="1"/>
        <color rgb="00B91C1C"/>
        <sz val="8"/>
      </font>
      <fill>
        <patternFill patternType="solid">
          <fgColor rgb="00FEE2E2"/>
        </patternFill>
      </fill>
    </dxf>
    <dxf>
      <font>
        <name val="Arial"/>
        <b val="1"/>
        <color rgb="00B45309"/>
        <sz val="8"/>
      </font>
      <fill>
        <patternFill patternType="solid">
          <fgColor rgb="00FEF3C7"/>
        </patternFill>
      </fill>
    </dxf>
    <dxf>
      <font>
        <name val="Arial"/>
        <b val="1"/>
        <color rgb="0064748B"/>
        <sz val="8"/>
      </font>
      <fill>
        <patternFill patternType="solid">
          <fgColor rgb="00F1F5F9"/>
        </patternFill>
      </fill>
    </dxf>
    <dxf>
      <font>
        <name val="Arial"/>
        <b val="1"/>
        <color rgb="00B91C1C"/>
      </font>
    </dxf>
    <dxf>
      <font>
        <name val="Arial"/>
        <b val="1"/>
        <color rgb="00047857"/>
      </font>
    </dxf>
    <dxf>
      <font>
        <name val="Arial"/>
        <b val="1"/>
        <color rgb="001D4ED8"/>
      </font>
      <fill>
        <patternFill patternType="solid">
          <fgColor rgb="00EFF6FF"/>
        </patternFill>
      </fill>
    </dxf>
    <dxf>
      <font>
        <name val="Arial"/>
        <b val="1"/>
        <color rgb="00B45309"/>
      </font>
      <fill>
        <patternFill patternType="solid">
          <fgColor rgb="00FEF3C7"/>
        </patternFill>
      </fill>
    </dxf>
    <dxf>
      <font>
        <name val="Arial"/>
        <b val="1"/>
        <color rgb="00047857"/>
      </font>
      <fill>
        <patternFill patternType="solid">
          <fgColor rgb="00D1FAE5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64748B"/>
      </font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Portfolio value vs money invested</a:t>
            </a:r>
          </a:p>
        </rich>
      </tx>
      <overlay val="0"/>
    </title>
    <plotArea>
      <lineChart>
        <grouping val="standard"/>
        <ser>
          <idx val="0"/>
          <order val="0"/>
          <tx>
            <v>Portfolio value</v>
          </tx>
          <spPr>
            <a:ln xmlns:a="http://schemas.openxmlformats.org/drawingml/2006/main" w="31750">
              <a:solidFill>
                <a:srgbClr val="C8A2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'Performance'!$B$7:$B$42</f>
            </numRef>
          </cat>
          <val>
            <numRef>
              <f>'Performance'!$C$7:$C$42</f>
            </numRef>
          </val>
          <smooth val="0"/>
        </ser>
        <ser>
          <idx val="1"/>
          <order val="1"/>
          <tx>
            <v>Cumulative invested</v>
          </tx>
          <spPr>
            <a:ln xmlns:a="http://schemas.openxmlformats.org/drawingml/2006/main" w="19050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'Performance'!$B$7:$B$42</f>
            </numRef>
          </cat>
          <val>
            <numRef>
              <f>'Performance'!$E$7:$E$42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Cumulative return</a:t>
            </a:r>
          </a:p>
        </rich>
      </tx>
      <overlay val="0"/>
    </title>
    <plotArea>
      <lineChart>
        <grouping val="standard"/>
        <ser>
          <idx val="0"/>
          <order val="0"/>
          <tx>
            <v>Cumulative return</v>
          </tx>
          <spPr>
            <a:ln xmlns:a="http://schemas.openxmlformats.org/drawingml/2006/main" w="28575">
              <a:solidFill>
                <a:srgbClr val="3B82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'Performance'!$B$7:$B$42</f>
            </numRef>
          </cat>
          <val>
            <numRef>
              <f>'Performance'!$G$7:$G$42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Monthly return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Return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'Performance'!$B$7:$B$42</f>
            </numRef>
          </cat>
          <val>
            <numRef>
              <f>'Performance'!$F$7:$F$42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Dividends by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'Dividends'!$B$8:$B$19</f>
            </numRef>
          </cat>
          <val>
            <numRef>
              <f>'Dividends'!$C$8:$C$19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Allocation by asset class</a:t>
            </a:r>
          </a:p>
        </rich>
      </tx>
      <overlay val="0"/>
    </title>
    <plotArea>
      <doughnutChart>
        <varyColors val="1"/>
        <ser>
          <idx val="0"/>
          <order val="0"/>
          <tx>
            <v>Allocation by asset class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8A24A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E3A5F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B82F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0B981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B5CF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9E0B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EF4444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14B8A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EC4899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64748B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'Allocation'!$B$10:$B$17</f>
            </numRef>
          </cat>
          <val>
            <numRef>
              <f>'Allocation'!$D$10:$D$17</f>
            </numRef>
          </val>
        </ser>
        <firstSliceAng val="0"/>
        <holeSize val="62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Target vs current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Target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'Allocation'!$B$10:$B$17</f>
            </numRef>
          </cat>
          <val>
            <numRef>
              <f>'Allocation'!$C$10:$C$17</f>
            </numRef>
          </val>
        </ser>
        <ser>
          <idx val="1"/>
          <order val="1"/>
          <tx>
            <v>Current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'Allocation'!$B$10:$B$17</f>
            </numRef>
          </cat>
          <val>
            <numRef>
              <f>'Allocation'!$E$10:$E$17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Allocation by sector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Share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'Allocation'!$B$24:$B$35</f>
            </numRef>
          </cat>
          <val>
            <numRef>
              <f>'Allocation'!$D$24:$D$35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Top 10 positions by value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Value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'Data'!$A$49:$A$58</f>
            </numRef>
          </cat>
          <val>
            <numRef>
              <f>'Data'!$B$49:$B$58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Unrealized P&amp;L of top positions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Unrealized P&amp;L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'Data'!$A$49:$A$58</f>
            </numRef>
          </cat>
          <val>
            <numRef>
              <f>'Data'!$C$49:$C$58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Current allocation</a:t>
            </a:r>
          </a:p>
        </rich>
      </tx>
      <overlay val="0"/>
    </title>
    <plotArea>
      <doughnutChart>
        <varyColors val="1"/>
        <ser>
          <idx val="0"/>
          <order val="0"/>
          <tx>
            <v>Current allocation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8A24A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E3A5F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B82F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0B981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B5CF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9E0B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EF4444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14B8A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EC4899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64748B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'Allocation'!$B$10:$B$17</f>
            </numRef>
          </cat>
          <val>
            <numRef>
              <f>'Allocation'!$D$10:$D$17</f>
            </numRef>
          </val>
        </ser>
        <firstSliceAng val="0"/>
        <holeSize val="62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Target vs current allocation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Target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'Allocation'!$B$10:$B$17</f>
            </numRef>
          </cat>
          <val>
            <numRef>
              <f>'Allocation'!$C$10:$C$17</f>
            </numRef>
          </val>
        </ser>
        <ser>
          <idx val="1"/>
          <order val="1"/>
          <tx>
            <v>Current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'Allocation'!$B$10:$B$17</f>
            </numRef>
          </cat>
          <val>
            <numRef>
              <f>'Allocation'!$E$10:$E$17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Allocation by sector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Share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'Allocation'!$B$24:$B$35</f>
            </numRef>
          </cat>
          <val>
            <numRef>
              <f>'Allocation'!$D$24:$D$35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Portfolio value vs money invested</a:t>
            </a:r>
          </a:p>
        </rich>
      </tx>
      <overlay val="0"/>
    </title>
    <plotArea>
      <lineChart>
        <grouping val="standard"/>
        <ser>
          <idx val="0"/>
          <order val="0"/>
          <tx>
            <v>Portfolio value</v>
          </tx>
          <spPr>
            <a:ln xmlns:a="http://schemas.openxmlformats.org/drawingml/2006/main" w="31750">
              <a:solidFill>
                <a:srgbClr val="C8A2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'Performance'!$B$7:$B$42</f>
            </numRef>
          </cat>
          <val>
            <numRef>
              <f>'Performance'!$C$7:$C$42</f>
            </numRef>
          </val>
          <smooth val="0"/>
        </ser>
        <ser>
          <idx val="1"/>
          <order val="1"/>
          <tx>
            <v>Cumulative invested</v>
          </tx>
          <spPr>
            <a:ln xmlns:a="http://schemas.openxmlformats.org/drawingml/2006/main" w="19050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'Performance'!$B$7:$B$42</f>
            </numRef>
          </cat>
          <val>
            <numRef>
              <f>'Performance'!$E$7:$E$42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Monthly return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Return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'Performance'!$B$7:$B$42</f>
            </numRef>
          </cat>
          <val>
            <numRef>
              <f>'Performance'!$F$7:$F$42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Cumulative return</a:t>
            </a:r>
          </a:p>
        </rich>
      </tx>
      <overlay val="0"/>
    </title>
    <plotArea>
      <lineChart>
        <grouping val="standard"/>
        <ser>
          <idx val="0"/>
          <order val="0"/>
          <tx>
            <v>Cumulative return</v>
          </tx>
          <spPr>
            <a:ln xmlns:a="http://schemas.openxmlformats.org/drawingml/2006/main" w="28575">
              <a:solidFill>
                <a:srgbClr val="3B82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'Performance'!$B$7:$B$42</f>
            </numRef>
          </cat>
          <val>
            <numRef>
              <f>'Performance'!$G$7:$G$42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Dividends by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'Dividends'!$B$8:$B$19</f>
            </numRef>
          </cat>
          <val>
            <numRef>
              <f>'Dividends'!$C$8:$C$19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Dividends by holding (all time)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'Dividends'!$E$8:$E$27</f>
            </numRef>
          </cat>
          <val>
            <numRef>
              <f>'Dividends'!$F$8:$F$27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Road to freedom (years from today)</a:t>
            </a:r>
          </a:p>
        </rich>
      </tx>
      <overlay val="0"/>
    </title>
    <plotArea>
      <lineChart>
        <grouping val="standard"/>
        <ser>
          <idx val="0"/>
          <order val="0"/>
          <tx>
            <v>Cautious (-2 pts)</v>
          </tx>
          <spPr>
            <a:ln xmlns:a="http://schemas.openxmlformats.org/drawingml/2006/main" w="19050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'Planner'!$E$8:$E$48</f>
            </numRef>
          </cat>
          <val>
            <numRef>
              <f>'Planner'!$F$8:$F$48</f>
            </numRef>
          </val>
          <smooth val="0"/>
        </ser>
        <ser>
          <idx val="1"/>
          <order val="1"/>
          <tx>
            <v>Base case</v>
          </tx>
          <spPr>
            <a:ln xmlns:a="http://schemas.openxmlformats.org/drawingml/2006/main" w="31750">
              <a:solidFill>
                <a:srgbClr val="C8A2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'Planner'!$E$8:$E$48</f>
            </numRef>
          </cat>
          <val>
            <numRef>
              <f>'Planner'!$G$8:$G$48</f>
            </numRef>
          </val>
          <smooth val="0"/>
        </ser>
        <ser>
          <idx val="2"/>
          <order val="2"/>
          <tx>
            <v>Optimistic (+2 pts)</v>
          </tx>
          <spPr>
            <a:ln xmlns:a="http://schemas.openxmlformats.org/drawingml/2006/main" w="19050">
              <a:solidFill>
                <a:srgbClr val="10B98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'Planner'!$E$8:$E$48</f>
            </numRef>
          </cat>
          <val>
            <numRef>
              <f>'Planner'!$H$8:$H$48</f>
            </numRef>
          </val>
          <smooth val="0"/>
        </ser>
        <ser>
          <idx val="3"/>
          <order val="3"/>
          <tx>
            <v>Freedom number</v>
          </tx>
          <spPr>
            <a:ln xmlns:a="http://schemas.openxmlformats.org/drawingml/2006/main" w="22225">
              <a:solidFill>
                <a:srgbClr val="EF4444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'Planner'!$E$8:$E$48</f>
            </numRef>
          </cat>
          <val>
            <numRef>
              <f>'Planner'!$I$8:$I$48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Estimated loss in a market fall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Portfolio loss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'Risk'!$B$28:$B$32</f>
            </numRef>
          </cat>
          <val>
            <numRef>
              <f>'Risk'!$C$28:$C$32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B1D33"/>
                </a:solidFill>
                <a:latin typeface="Arial"/>
              </a:defRPr>
            </a:pPr>
            <a:r>
              <a:rPr sz="1100" b="1">
                <a:solidFill>
                  <a:srgbClr val="0B1D33"/>
                </a:solidFill>
                <a:latin typeface="Arial"/>
              </a:rPr>
              <a:t>Exposure by asset class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Value</v>
          </tx>
          <spPr>
            <a:solidFill xmlns:a="http://schemas.openxmlformats.org/drawingml/2006/main">
              <a:srgbClr val="C8A24A"/>
            </a:solidFill>
            <a:ln xmlns:a="http://schemas.openxmlformats.org/drawingml/2006/main">
              <a:noFill/>
              <a:prstDash val="solid"/>
            </a:ln>
          </spPr>
          <cat>
            <numRef>
              <f>'Risk'!$B$18:$B$25</f>
            </numRef>
          </cat>
          <val>
            <numRef>
              <f>'Risk'!$C$18:$C$25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0.xml" Id="rId1"/><Relationship Type="http://schemas.openxmlformats.org/officeDocument/2006/relationships/chart" Target="/xl/charts/chart11.xml" Id="rId2"/><Relationship Type="http://schemas.openxmlformats.org/officeDocument/2006/relationships/chart" Target="/xl/charts/chart12.xml" Id="rId3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3.xml" Id="rId1"/><Relationship Type="http://schemas.openxmlformats.org/officeDocument/2006/relationships/chart" Target="/xl/charts/chart14.xml" Id="rId2"/><Relationship Type="http://schemas.openxmlformats.org/officeDocument/2006/relationships/chart" Target="/xl/charts/chart15.xml" Id="rId3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6.xml" Id="rId1"/><Relationship Type="http://schemas.openxmlformats.org/officeDocument/2006/relationships/chart" Target="/xl/charts/chart17.xml" Id="rId2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19.xml" Id="rId1"/><Relationship Type="http://schemas.openxmlformats.org/officeDocument/2006/relationships/chart" Target="/xl/charts/chart20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5256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5256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38</row>
      <rowOff>0</rowOff>
    </from>
    <ext cx="5256000" cy="280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38</row>
      <rowOff>0</rowOff>
    </from>
    <ext cx="5256000" cy="280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55</row>
      <rowOff>0</rowOff>
    </from>
    <ext cx="3491999" cy="280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5</col>
      <colOff>0</colOff>
      <row>55</row>
      <rowOff>0</rowOff>
    </from>
    <ext cx="3491999" cy="280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9</col>
      <colOff>0</colOff>
      <row>55</row>
      <rowOff>0</rowOff>
    </from>
    <ext cx="3491999" cy="2808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</col>
      <colOff>0</colOff>
      <row>71</row>
      <rowOff>0</rowOff>
    </from>
    <ext cx="5256000" cy="2808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7</col>
      <colOff>0</colOff>
      <row>71</row>
      <rowOff>0</rowOff>
    </from>
    <ext cx="5256000" cy="2808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10</col>
      <colOff>0</colOff>
      <row>5</row>
      <rowOff>0</rowOff>
    </from>
    <ext cx="342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21</row>
      <rowOff>0</rowOff>
    </from>
    <ext cx="4140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37</row>
      <rowOff>0</rowOff>
    </from>
    <ext cx="4140000" cy="280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9</col>
      <colOff>0</colOff>
      <row>5</row>
      <rowOff>0</rowOff>
    </from>
    <ext cx="59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59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39</row>
      <rowOff>0</rowOff>
    </from>
    <ext cx="59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9</col>
      <colOff>0</colOff>
      <row>5</row>
      <rowOff>0</rowOff>
    </from>
    <ext cx="59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59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10</col>
      <colOff>0</colOff>
      <row>5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8</col>
      <colOff>0</colOff>
      <row>5</row>
      <rowOff>0</rowOff>
    </from>
    <ext cx="540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5400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N32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 t="inlineStr">
        <is>
          <t>WEALTH SUITE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8" customHeight="1">
      <c r="A2" s="1" t="n"/>
      <c r="B2" s="3">
        <f>'Settings'!$C$7</f>
        <v/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18" customHeight="1">
      <c r="A3" s="1" t="n"/>
      <c r="B3" s="4" t="inlineStr">
        <is>
          <t>Investment portfolio &amp; wealth tracker  ·  holdings, returns, dividends and freedom plan in one workbook.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6" ht="20" customHeight="1">
      <c r="B6" s="6" t="inlineStr">
        <is>
          <t>PORTFOLIO VALUE</t>
        </is>
      </c>
      <c r="C6" s="6" t="n"/>
      <c r="D6" s="6" t="n"/>
      <c r="E6" s="7" t="inlineStr">
        <is>
          <t>UNREALIZED P&amp;L</t>
        </is>
      </c>
      <c r="F6" s="7" t="n"/>
      <c r="G6" s="7" t="n"/>
      <c r="H6" s="8" t="inlineStr">
        <is>
          <t>DIVIDENDS</t>
        </is>
      </c>
      <c r="I6" s="8" t="n"/>
      <c r="J6" s="8" t="n"/>
      <c r="K6" s="9" t="inlineStr">
        <is>
          <t>FREEDOM PROGRESS</t>
        </is>
      </c>
      <c r="L6" s="9" t="n"/>
      <c r="M6" s="9" t="n"/>
    </row>
    <row r="7" ht="40" customHeight="1">
      <c r="B7" s="10">
        <f>'Dashboard'!B7</f>
        <v/>
      </c>
      <c r="C7" s="10" t="n"/>
      <c r="D7" s="10" t="n"/>
      <c r="E7" s="11">
        <f>'Dashboard'!F7</f>
        <v/>
      </c>
      <c r="F7" s="11" t="n"/>
      <c r="G7" s="11" t="n"/>
      <c r="H7" s="10">
        <f>'Dashboard'!J7</f>
        <v/>
      </c>
      <c r="I7" s="10" t="n"/>
      <c r="J7" s="10" t="n"/>
      <c r="K7" s="12">
        <f>'Planner'!C18</f>
        <v/>
      </c>
      <c r="L7" s="12" t="n"/>
      <c r="M7" s="12" t="n"/>
    </row>
    <row r="9" ht="24" customHeight="1">
      <c r="B9" s="13" t="inlineStr">
        <is>
          <t>PORTFOLIO</t>
        </is>
      </c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</row>
    <row r="10" ht="24" customHeight="1">
      <c r="B10" s="15" t="inlineStr">
        <is>
          <t xml:space="preserve">  Dashboard</t>
        </is>
      </c>
      <c r="C10" s="16" t="n"/>
      <c r="D10" s="16" t="n"/>
      <c r="E10" s="16" t="n"/>
      <c r="F10" s="15" t="inlineStr">
        <is>
          <t xml:space="preserve">  Transactions</t>
        </is>
      </c>
      <c r="G10" s="16" t="n"/>
      <c r="H10" s="16" t="n"/>
      <c r="I10" s="16" t="n"/>
      <c r="J10" s="15" t="inlineStr">
        <is>
          <t xml:space="preserve">  Holdings</t>
        </is>
      </c>
      <c r="K10" s="16" t="n"/>
      <c r="L10" s="16" t="n"/>
      <c r="M10" s="16" t="n"/>
    </row>
    <row r="11" ht="34" customHeight="1">
      <c r="B11" s="17" t="inlineStr">
        <is>
          <t>KPIs, coach insights and 9 live charts.</t>
        </is>
      </c>
      <c r="C11" s="17" t="n"/>
      <c r="D11" s="17" t="n"/>
      <c r="E11" s="17" t="n"/>
      <c r="F11" s="17" t="inlineStr">
        <is>
          <t>Buys, sells, dividends and fees.</t>
        </is>
      </c>
      <c r="G11" s="17" t="n"/>
      <c r="H11" s="17" t="n"/>
      <c r="I11" s="17" t="n"/>
      <c r="J11" s="17" t="inlineStr">
        <is>
          <t>Cost, value and returns per holding.</t>
        </is>
      </c>
      <c r="K11" s="17" t="n"/>
      <c r="L11" s="17" t="n"/>
      <c r="M11" s="17" t="n"/>
    </row>
    <row r="12" ht="8" customHeight="1"/>
    <row r="13" ht="24" customHeight="1">
      <c r="B13" s="15" t="inlineStr">
        <is>
          <t xml:space="preserve">  Allocation</t>
        </is>
      </c>
      <c r="C13" s="16" t="n"/>
      <c r="D13" s="16" t="n"/>
      <c r="E13" s="16" t="n"/>
    </row>
    <row r="14" ht="34" customHeight="1">
      <c r="B14" s="17" t="inlineStr">
        <is>
          <t>Targets, drift and rebalancing amounts.</t>
        </is>
      </c>
      <c r="C14" s="17" t="n"/>
      <c r="D14" s="17" t="n"/>
      <c r="E14" s="17" t="n"/>
    </row>
    <row r="15" ht="8" customHeight="1"/>
    <row r="16" ht="24" customHeight="1">
      <c r="B16" s="18" t="inlineStr">
        <is>
          <t>PROGRESS</t>
        </is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</row>
    <row r="17" ht="24" customHeight="1">
      <c r="B17" s="20" t="inlineStr">
        <is>
          <t xml:space="preserve">  Performance</t>
        </is>
      </c>
      <c r="C17" s="16" t="n"/>
      <c r="D17" s="16" t="n"/>
      <c r="E17" s="16" t="n"/>
      <c r="F17" s="20" t="inlineStr">
        <is>
          <t xml:space="preserve">  Dividends</t>
        </is>
      </c>
      <c r="G17" s="16" t="n"/>
      <c r="H17" s="16" t="n"/>
      <c r="I17" s="16" t="n"/>
      <c r="J17" s="20" t="inlineStr">
        <is>
          <t xml:space="preserve">  Watchlist</t>
        </is>
      </c>
      <c r="K17" s="16" t="n"/>
      <c r="L17" s="16" t="n"/>
      <c r="M17" s="16" t="n"/>
    </row>
    <row r="18" ht="34" customHeight="1">
      <c r="B18" s="21" t="inlineStr">
        <is>
          <t>Monthly and cumulative returns.</t>
        </is>
      </c>
      <c r="C18" s="21" t="n"/>
      <c r="D18" s="21" t="n"/>
      <c r="E18" s="21" t="n"/>
      <c r="F18" s="21" t="inlineStr">
        <is>
          <t>Passive income by month and holding.</t>
        </is>
      </c>
      <c r="G18" s="21" t="n"/>
      <c r="H18" s="21" t="n"/>
      <c r="I18" s="21" t="n"/>
      <c r="J18" s="21" t="inlineStr">
        <is>
          <t>Opportunities with buy zones.</t>
        </is>
      </c>
      <c r="K18" s="21" t="n"/>
      <c r="L18" s="21" t="n"/>
      <c r="M18" s="21" t="n"/>
    </row>
    <row r="19" ht="8" customHeight="1"/>
    <row r="20" ht="24" customHeight="1">
      <c r="B20" s="22" t="inlineStr">
        <is>
          <t>PLAN &amp; PROTECT</t>
        </is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</row>
    <row r="21" ht="24" customHeight="1">
      <c r="B21" s="24" t="inlineStr">
        <is>
          <t xml:space="preserve">  Planner</t>
        </is>
      </c>
      <c r="C21" s="16" t="n"/>
      <c r="D21" s="16" t="n"/>
      <c r="E21" s="16" t="n"/>
      <c r="F21" s="24" t="inlineStr">
        <is>
          <t xml:space="preserve">  Risk</t>
        </is>
      </c>
      <c r="G21" s="16" t="n"/>
      <c r="H21" s="16" t="n"/>
      <c r="I21" s="16" t="n"/>
      <c r="J21" s="24" t="inlineStr">
        <is>
          <t xml:space="preserve">  Calculators</t>
        </is>
      </c>
      <c r="K21" s="16" t="n"/>
      <c r="L21" s="16" t="n"/>
      <c r="M21" s="16" t="n"/>
    </row>
    <row r="22" ht="34" customHeight="1">
      <c r="B22" s="25" t="inlineStr">
        <is>
          <t>Freedom number and the road to get there.</t>
        </is>
      </c>
      <c r="C22" s="25" t="n"/>
      <c r="D22" s="25" t="n"/>
      <c r="E22" s="25" t="n"/>
      <c r="F22" s="25" t="inlineStr">
        <is>
          <t>Concentration and stress test.</t>
        </is>
      </c>
      <c r="G22" s="25" t="n"/>
      <c r="H22" s="25" t="n"/>
      <c r="I22" s="25" t="n"/>
      <c r="J22" s="25" t="inlineStr">
        <is>
          <t>CAGR, compounding, fees, position size.</t>
        </is>
      </c>
      <c r="K22" s="25" t="n"/>
      <c r="L22" s="25" t="n"/>
      <c r="M22" s="25" t="n"/>
    </row>
    <row r="23" ht="8" customHeight="1"/>
    <row r="24" ht="24" customHeight="1">
      <c r="B24" s="26" t="inlineStr">
        <is>
          <t>LEARN &amp; SETUP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</row>
    <row r="25" ht="24" customHeight="1">
      <c r="B25" s="28" t="inlineStr">
        <is>
          <t xml:space="preserve">  Playbook</t>
        </is>
      </c>
      <c r="C25" s="16" t="n"/>
      <c r="D25" s="16" t="n"/>
      <c r="E25" s="16" t="n"/>
      <c r="F25" s="28" t="inlineStr">
        <is>
          <t xml:space="preserve">  Glossary</t>
        </is>
      </c>
      <c r="G25" s="16" t="n"/>
      <c r="H25" s="16" t="n"/>
      <c r="I25" s="16" t="n"/>
      <c r="J25" s="28" t="inlineStr">
        <is>
          <t xml:space="preserve">  Start Here</t>
        </is>
      </c>
      <c r="K25" s="16" t="n"/>
      <c r="L25" s="16" t="n"/>
      <c r="M25" s="16" t="n"/>
    </row>
    <row r="26" ht="34" customHeight="1">
      <c r="B26" s="29" t="inlineStr">
        <is>
          <t>24 investing principles.</t>
        </is>
      </c>
      <c r="C26" s="29" t="n"/>
      <c r="D26" s="29" t="n"/>
      <c r="E26" s="29" t="n"/>
      <c r="F26" s="29" t="inlineStr">
        <is>
          <t>40 terms explained.</t>
        </is>
      </c>
      <c r="G26" s="29" t="n"/>
      <c r="H26" s="29" t="n"/>
      <c r="I26" s="29" t="n"/>
      <c r="J26" s="29" t="inlineStr">
        <is>
          <t>10-step path and FAQ.</t>
        </is>
      </c>
      <c r="K26" s="29" t="n"/>
      <c r="L26" s="29" t="n"/>
      <c r="M26" s="29" t="n"/>
    </row>
    <row r="27" ht="8" customHeight="1"/>
    <row r="28" ht="24" customHeight="1">
      <c r="B28" s="28" t="inlineStr">
        <is>
          <t xml:space="preserve">  Settings</t>
        </is>
      </c>
      <c r="C28" s="16" t="n"/>
      <c r="D28" s="16" t="n"/>
      <c r="E28" s="16" t="n"/>
      <c r="F28" s="28" t="inlineStr">
        <is>
          <t xml:space="preserve">  Lists</t>
        </is>
      </c>
      <c r="G28" s="16" t="n"/>
      <c r="H28" s="16" t="n"/>
      <c r="I28" s="16" t="n"/>
    </row>
    <row r="29" ht="34" customHeight="1">
      <c r="B29" s="29" t="inlineStr">
        <is>
          <t>Your starting point and guard-rails.</t>
        </is>
      </c>
      <c r="C29" s="29" t="n"/>
      <c r="D29" s="29" t="n"/>
      <c r="E29" s="29" t="n"/>
      <c r="F29" s="29" t="inlineStr">
        <is>
          <t>Your classes, sectors, accounts.</t>
        </is>
      </c>
      <c r="G29" s="29" t="n"/>
      <c r="H29" s="29" t="n"/>
      <c r="I29" s="29" t="n"/>
    </row>
    <row r="30" ht="8" customHeight="1"/>
    <row r="32">
      <c r="B32" s="30" t="inlineStr">
        <is>
          <t>This workbook is a tracking and educational tool. It is not financial, tax or investment advice. Investing involves risk of loss.</t>
        </is>
      </c>
      <c r="C32" s="30" t="n"/>
      <c r="D32" s="30" t="n"/>
      <c r="E32" s="30" t="n"/>
      <c r="F32" s="30" t="n"/>
      <c r="G32" s="30" t="n"/>
      <c r="H32" s="30" t="n"/>
      <c r="I32" s="30" t="n"/>
      <c r="J32" s="30" t="n"/>
      <c r="K32" s="30" t="n"/>
      <c r="L32" s="30" t="n"/>
      <c r="M32" s="30" t="n"/>
    </row>
  </sheetData>
  <mergeCells count="43">
    <mergeCell ref="J22:M22"/>
    <mergeCell ref="B28:E28"/>
    <mergeCell ref="J21:M21"/>
    <mergeCell ref="J18:M18"/>
    <mergeCell ref="H7:J7"/>
    <mergeCell ref="E6:G6"/>
    <mergeCell ref="B26:E26"/>
    <mergeCell ref="J17:M17"/>
    <mergeCell ref="F11:I11"/>
    <mergeCell ref="B25:E25"/>
    <mergeCell ref="F29:I29"/>
    <mergeCell ref="B9:M9"/>
    <mergeCell ref="F25:I25"/>
    <mergeCell ref="E7:G7"/>
    <mergeCell ref="F10:I10"/>
    <mergeCell ref="B6:D6"/>
    <mergeCell ref="K7:M7"/>
    <mergeCell ref="B22:E22"/>
    <mergeCell ref="J10:M10"/>
    <mergeCell ref="B24:M24"/>
    <mergeCell ref="B18:E18"/>
    <mergeCell ref="F28:I28"/>
    <mergeCell ref="K6:M6"/>
    <mergeCell ref="B20:M20"/>
    <mergeCell ref="B21:E21"/>
    <mergeCell ref="B32:M32"/>
    <mergeCell ref="B11:E11"/>
    <mergeCell ref="F21:I21"/>
    <mergeCell ref="B7:D7"/>
    <mergeCell ref="B14:E14"/>
    <mergeCell ref="F18:I18"/>
    <mergeCell ref="B16:M16"/>
    <mergeCell ref="B17:E17"/>
    <mergeCell ref="F26:I26"/>
    <mergeCell ref="F17:I17"/>
    <mergeCell ref="J26:M26"/>
    <mergeCell ref="B13:E13"/>
    <mergeCell ref="J11:M11"/>
    <mergeCell ref="B29:E29"/>
    <mergeCell ref="F22:I22"/>
    <mergeCell ref="B10:E10"/>
    <mergeCell ref="J25:M25"/>
    <mergeCell ref="H6:J6"/>
  </mergeCells>
  <hyperlinks>
    <hyperlink ref="B10" location="'Dashboard'!A1" display="Dashboard"/>
    <hyperlink ref="F10" location="'Transactions'!A1" display="Transactions"/>
    <hyperlink ref="J10" location="'Holdings'!A1" display="Holdings"/>
    <hyperlink ref="B13" location="'Allocation'!A1" display="Allocation"/>
    <hyperlink ref="B17" location="'Performance'!A1" display="Performance"/>
    <hyperlink ref="F17" location="'Dividends'!A1" display="Dividends"/>
    <hyperlink ref="J17" location="'Watchlist'!A1" display="Watchlist"/>
    <hyperlink ref="B21" location="'Planner'!A1" display="Planner"/>
    <hyperlink ref="F21" location="'Risk'!A1" display="Risk"/>
    <hyperlink ref="J21" location="'Calculators'!A1" display="Calculators"/>
    <hyperlink ref="B25" location="'Playbook'!A1" display="Playbook"/>
    <hyperlink ref="F25" location="'Glossary'!A1" display="Glossary"/>
    <hyperlink ref="J25" location="'Start Here'!A1" display="Start Here"/>
    <hyperlink ref="B28" location="'Settings'!A1" display="Settings"/>
    <hyperlink ref="F28" location="'Lists'!A1" display="Lists"/>
  </hyperlink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K2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30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2" customWidth="1" min="11" max="11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1" t="n"/>
      <c r="B2" s="31" t="inlineStr">
        <is>
          <t>Start here</t>
        </is>
      </c>
      <c r="C2" s="1" t="n"/>
      <c r="D2" s="1" t="n"/>
      <c r="E2" s="1" t="n"/>
      <c r="F2" s="1" t="n"/>
      <c r="G2" s="1" t="n"/>
      <c r="H2" s="1" t="n"/>
      <c r="I2" s="32" t="inlineStr">
        <is>
          <t>← Accueil</t>
        </is>
      </c>
      <c r="J2" s="1" t="n"/>
      <c r="K2" s="1" t="n"/>
    </row>
    <row r="3" ht="18" customHeight="1">
      <c r="A3" s="1" t="n"/>
      <c r="B3" s="4" t="inlineStr">
        <is>
          <t>Set up in 20 minutes, then spend 10 minutes a month.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6" ht="24" customHeight="1">
      <c r="B6" s="13" t="inlineStr">
        <is>
          <t>YOUR 10-STEP PATH</t>
        </is>
      </c>
      <c r="C6" s="14" t="n"/>
      <c r="D6" s="14" t="n"/>
      <c r="E6" s="14" t="n"/>
      <c r="F6" s="14" t="n"/>
      <c r="G6" s="14" t="n"/>
      <c r="H6" s="14" t="n"/>
      <c r="I6" s="14" t="n"/>
      <c r="J6" s="14" t="n"/>
    </row>
    <row r="7" ht="36" customHeight="1">
      <c r="B7" s="33" t="inlineStr">
        <is>
          <t>1</t>
        </is>
      </c>
      <c r="C7" s="34" t="inlineStr">
        <is>
          <t>Set your starting point</t>
        </is>
      </c>
      <c r="D7" s="35" t="inlineStr">
        <is>
          <t>Settings</t>
        </is>
      </c>
      <c r="E7" s="36" t="inlineStr">
        <is>
          <t>Choose your tracking start, analysis year and guard-rails for position size and rebalancing.</t>
        </is>
      </c>
      <c r="F7" s="36" t="n"/>
      <c r="G7" s="36" t="n"/>
      <c r="H7" s="36" t="n"/>
      <c r="I7" s="36" t="n"/>
      <c r="J7" s="36" t="n"/>
    </row>
    <row r="8" ht="36" customHeight="1">
      <c r="B8" s="33" t="inlineStr">
        <is>
          <t>2</t>
        </is>
      </c>
      <c r="C8" s="34" t="inlineStr">
        <is>
          <t>Personalize your lists</t>
        </is>
      </c>
      <c r="D8" s="35" t="inlineStr">
        <is>
          <t>Lists</t>
        </is>
      </c>
      <c r="E8" s="36" t="inlineStr">
        <is>
          <t>Rename asset classes, sectors and accounts to match your portfolio.</t>
        </is>
      </c>
      <c r="F8" s="36" t="n"/>
      <c r="G8" s="36" t="n"/>
      <c r="H8" s="36" t="n"/>
      <c r="I8" s="36" t="n"/>
      <c r="J8" s="36" t="n"/>
    </row>
    <row r="9" ht="36" customHeight="1">
      <c r="B9" s="33" t="inlineStr">
        <is>
          <t>3</t>
        </is>
      </c>
      <c r="C9" s="34" t="inlineStr">
        <is>
          <t>List your holdings</t>
        </is>
      </c>
      <c r="D9" s="35" t="inlineStr">
        <is>
          <t>Holdings</t>
        </is>
      </c>
      <c r="E9" s="36" t="inlineStr">
        <is>
          <t>Enter each ticker once with name, asset class, sector and account. Update the current price when you review.</t>
        </is>
      </c>
      <c r="F9" s="36" t="n"/>
      <c r="G9" s="36" t="n"/>
      <c r="H9" s="36" t="n"/>
      <c r="I9" s="36" t="n"/>
      <c r="J9" s="36" t="n"/>
    </row>
    <row r="10" ht="36" customHeight="1">
      <c r="B10" s="33" t="inlineStr">
        <is>
          <t>4</t>
        </is>
      </c>
      <c r="C10" s="34" t="inlineStr">
        <is>
          <t>Log every transaction</t>
        </is>
      </c>
      <c r="D10" s="35" t="inlineStr">
        <is>
          <t>Transactions</t>
        </is>
      </c>
      <c r="E10" s="36" t="inlineStr">
        <is>
          <t>Buys, sells, dividends and fees: shares, average cost, realized and unrealized returns update automatically.</t>
        </is>
      </c>
      <c r="F10" s="36" t="n"/>
      <c r="G10" s="36" t="n"/>
      <c r="H10" s="36" t="n"/>
      <c r="I10" s="36" t="n"/>
      <c r="J10" s="36" t="n"/>
    </row>
    <row r="11" ht="36" customHeight="1">
      <c r="B11" s="33" t="inlineStr">
        <is>
          <t>5</t>
        </is>
      </c>
      <c r="C11" s="34" t="inlineStr">
        <is>
          <t>Set target allocation</t>
        </is>
      </c>
      <c r="D11" s="35" t="inlineStr">
        <is>
          <t>Allocation</t>
        </is>
      </c>
      <c r="E11" s="36" t="inlineStr">
        <is>
          <t>Enter your target % per asset class to see drift and exactly how much to buy or sell.</t>
        </is>
      </c>
      <c r="F11" s="36" t="n"/>
      <c r="G11" s="36" t="n"/>
      <c r="H11" s="36" t="n"/>
      <c r="I11" s="36" t="n"/>
      <c r="J11" s="36" t="n"/>
    </row>
    <row r="12" ht="36" customHeight="1">
      <c r="B12" s="33" t="inlineStr">
        <is>
          <t>6</t>
        </is>
      </c>
      <c r="C12" s="34" t="inlineStr">
        <is>
          <t>Record monthly values</t>
        </is>
      </c>
      <c r="D12" s="35" t="inlineStr">
        <is>
          <t>Performance</t>
        </is>
      </c>
      <c r="E12" s="36" t="inlineStr">
        <is>
          <t>Enter your portfolio value at each month end to get monthly and cumulative returns net of contributions.</t>
        </is>
      </c>
      <c r="F12" s="36" t="n"/>
      <c r="G12" s="36" t="n"/>
      <c r="H12" s="36" t="n"/>
      <c r="I12" s="36" t="n"/>
      <c r="J12" s="36" t="n"/>
    </row>
    <row r="13" ht="36" customHeight="1">
      <c r="B13" s="33" t="inlineStr">
        <is>
          <t>7</t>
        </is>
      </c>
      <c r="C13" s="34" t="inlineStr">
        <is>
          <t>Read your dashboard monthly</t>
        </is>
      </c>
      <c r="D13" s="35" t="inlineStr">
        <is>
          <t>Dashboard</t>
        </is>
      </c>
      <c r="E13" s="36" t="inlineStr">
        <is>
          <t>Check the coach insights, the charts and your biggest positions.</t>
        </is>
      </c>
      <c r="F13" s="36" t="n"/>
      <c r="G13" s="36" t="n"/>
      <c r="H13" s="36" t="n"/>
      <c r="I13" s="36" t="n"/>
      <c r="J13" s="36" t="n"/>
    </row>
    <row r="14" ht="36" customHeight="1">
      <c r="B14" s="33" t="inlineStr">
        <is>
          <t>8</t>
        </is>
      </c>
      <c r="C14" s="34" t="inlineStr">
        <is>
          <t>Plan your freedom</t>
        </is>
      </c>
      <c r="D14" s="35" t="inlineStr">
        <is>
          <t>Planner</t>
        </is>
      </c>
      <c r="E14" s="36" t="inlineStr">
        <is>
          <t>Set your spending and contribution to get your freedom number and the year you reach it.</t>
        </is>
      </c>
      <c r="F14" s="36" t="n"/>
      <c r="G14" s="36" t="n"/>
      <c r="H14" s="36" t="n"/>
      <c r="I14" s="36" t="n"/>
      <c r="J14" s="36" t="n"/>
    </row>
    <row r="15" ht="36" customHeight="1">
      <c r="B15" s="33" t="inlineStr">
        <is>
          <t>9</t>
        </is>
      </c>
      <c r="C15" s="34" t="inlineStr">
        <is>
          <t>Stress test</t>
        </is>
      </c>
      <c r="D15" s="35" t="inlineStr">
        <is>
          <t>Risk</t>
        </is>
      </c>
      <c r="E15" s="36" t="inlineStr">
        <is>
          <t>See your concentration and what a market fall could do to your portfolio.</t>
        </is>
      </c>
      <c r="F15" s="36" t="n"/>
      <c r="G15" s="36" t="n"/>
      <c r="H15" s="36" t="n"/>
      <c r="I15" s="36" t="n"/>
      <c r="J15" s="36" t="n"/>
    </row>
    <row r="16" ht="36" customHeight="1">
      <c r="B16" s="33" t="inlineStr">
        <is>
          <t>10</t>
        </is>
      </c>
      <c r="C16" s="34" t="inlineStr">
        <is>
          <t>Keep learning</t>
        </is>
      </c>
      <c r="D16" s="35" t="inlineStr">
        <is>
          <t>Playbook</t>
        </is>
      </c>
      <c r="E16" s="36" t="inlineStr">
        <is>
          <t>Use the Playbook, Calculators and Glossary to stay disciplined.</t>
        </is>
      </c>
      <c r="F16" s="36" t="n"/>
      <c r="G16" s="36" t="n"/>
      <c r="H16" s="36" t="n"/>
      <c r="I16" s="36" t="n"/>
      <c r="J16" s="36" t="n"/>
    </row>
    <row r="18" ht="24" customHeight="1">
      <c r="B18" s="37" t="inlineStr">
        <is>
          <t>FREQUENTLY ASKED QUESTIONS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</row>
    <row r="19" ht="34" customHeight="1">
      <c r="B19" s="34" t="inlineStr">
        <is>
          <t>Does it pull live prices?</t>
        </is>
      </c>
      <c r="C19" s="34" t="n"/>
      <c r="D19" s="34" t="n"/>
      <c r="E19" s="36" t="inlineStr">
        <is>
          <t>No: you enter the current price in Holdings, which keeps it working in every country, on every broker and with any asset.</t>
        </is>
      </c>
      <c r="F19" s="36" t="n"/>
      <c r="G19" s="36" t="n"/>
      <c r="H19" s="36" t="n"/>
      <c r="I19" s="36" t="n"/>
      <c r="J19" s="36" t="n"/>
    </row>
    <row r="20" ht="30" customHeight="1">
      <c r="B20" s="34" t="inlineStr">
        <is>
          <t>Which cost method is used?</t>
        </is>
      </c>
      <c r="C20" s="34" t="n"/>
      <c r="D20" s="34" t="n"/>
      <c r="E20" s="36" t="inlineStr">
        <is>
          <t>Average cost per share, the most widely used approach for tracking.</t>
        </is>
      </c>
      <c r="F20" s="36" t="n"/>
      <c r="G20" s="36" t="n"/>
      <c r="H20" s="36" t="n"/>
      <c r="I20" s="36" t="n"/>
      <c r="J20" s="36" t="n"/>
    </row>
    <row r="21" ht="30" customHeight="1">
      <c r="B21" s="34" t="inlineStr">
        <is>
          <t>Which currency?</t>
        </is>
      </c>
      <c r="C21" s="34" t="n"/>
      <c r="D21" s="34" t="n"/>
      <c r="E21" s="36" t="inlineStr">
        <is>
          <t>Any. Amounts are plain numbers, so use your own currency everywhere.</t>
        </is>
      </c>
      <c r="F21" s="36" t="n"/>
      <c r="G21" s="36" t="n"/>
      <c r="H21" s="36" t="n"/>
      <c r="I21" s="36" t="n"/>
      <c r="J21" s="36" t="n"/>
    </row>
    <row r="22" ht="30" customHeight="1">
      <c r="B22" s="34" t="inlineStr">
        <is>
          <t>How many transactions fit?</t>
        </is>
      </c>
      <c r="C22" s="34" t="n"/>
      <c r="D22" s="34" t="n"/>
      <c r="E22" s="36" t="inlineStr">
        <is>
          <t>1,000 rows and 40 holdings.</t>
        </is>
      </c>
      <c r="F22" s="36" t="n"/>
      <c r="G22" s="36" t="n"/>
      <c r="H22" s="36" t="n"/>
      <c r="I22" s="36" t="n"/>
      <c r="J22" s="36" t="n"/>
    </row>
    <row r="23" ht="30" customHeight="1">
      <c r="B23" s="34" t="inlineStr">
        <is>
          <t>Do I need macros?</t>
        </is>
      </c>
      <c r="C23" s="34" t="n"/>
      <c r="D23" s="34" t="n"/>
      <c r="E23" s="36" t="inlineStr">
        <is>
          <t>No. Standard formulas only.</t>
        </is>
      </c>
      <c r="F23" s="36" t="n"/>
      <c r="G23" s="36" t="n"/>
      <c r="H23" s="36" t="n"/>
      <c r="I23" s="36" t="n"/>
      <c r="J23" s="36" t="n"/>
    </row>
    <row r="25">
      <c r="B25" s="39" t="inlineStr">
        <is>
          <t>This workbook is a tracking and educational tool. It is not financial, tax or investment advice. Investing involves risk of loss.</t>
        </is>
      </c>
      <c r="C25" s="39" t="n"/>
      <c r="D25" s="39" t="n"/>
      <c r="E25" s="39" t="n"/>
      <c r="F25" s="39" t="n"/>
      <c r="G25" s="39" t="n"/>
      <c r="H25" s="39" t="n"/>
      <c r="I25" s="39" t="n"/>
      <c r="J25" s="39" t="n"/>
    </row>
  </sheetData>
  <mergeCells count="24">
    <mergeCell ref="E19:J19"/>
    <mergeCell ref="E10:J10"/>
    <mergeCell ref="B23:D23"/>
    <mergeCell ref="E13:J13"/>
    <mergeCell ref="I2:J2"/>
    <mergeCell ref="E9:J9"/>
    <mergeCell ref="E15:J15"/>
    <mergeCell ref="E11:J11"/>
    <mergeCell ref="B19:D19"/>
    <mergeCell ref="B6:J6"/>
    <mergeCell ref="B20:D20"/>
    <mergeCell ref="E7:J7"/>
    <mergeCell ref="E16:J16"/>
    <mergeCell ref="E22:J22"/>
    <mergeCell ref="E12:J12"/>
    <mergeCell ref="E21:J21"/>
    <mergeCell ref="B25:J25"/>
    <mergeCell ref="E14:J14"/>
    <mergeCell ref="B22:D22"/>
    <mergeCell ref="E23:J23"/>
    <mergeCell ref="E8:J8"/>
    <mergeCell ref="B18:J18"/>
    <mergeCell ref="B21:D21"/>
    <mergeCell ref="E20:J20"/>
  </mergeCells>
  <hyperlinks>
    <hyperlink ref="I2" location="'Accueil'!A1" display="Accueil"/>
    <hyperlink ref="D7" location="'Settings'!A1" display="Settings"/>
    <hyperlink ref="D8" location="'Lists'!A1" display="Lists"/>
    <hyperlink ref="D9" location="'Holdings'!A1" display="Holdings"/>
    <hyperlink ref="D10" location="'Transactions'!A1" display="Transactions"/>
    <hyperlink ref="D11" location="'Allocation'!A1" display="Allocation"/>
    <hyperlink ref="D12" location="'Performance'!A1" display="Performance"/>
    <hyperlink ref="D13" location="'Dashboard'!A1" display="Dashboard"/>
    <hyperlink ref="D14" location="'Planner'!A1" display="Planner"/>
    <hyperlink ref="D15" location="'Risk'!A1" display="Risk"/>
    <hyperlink ref="D16" location="'Playbook'!A1" display="Playbook"/>
  </hyperlink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H17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8" customWidth="1" min="2" max="2"/>
    <col width="2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1" t="inlineStr">
        <is>
          <t>Settings</t>
        </is>
      </c>
      <c r="C2" s="1" t="n"/>
      <c r="D2" s="1" t="n"/>
      <c r="E2" s="1" t="n"/>
      <c r="F2" s="1" t="n"/>
      <c r="G2" s="32" t="inlineStr">
        <is>
          <t>← Accueil</t>
        </is>
      </c>
      <c r="H2" s="1" t="n"/>
    </row>
    <row r="3" ht="18" customHeight="1">
      <c r="A3" s="1" t="n"/>
      <c r="B3" s="4" t="inlineStr">
        <is>
          <t>Set your starting point and your guard-rails. Everything adapts.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3" t="inlineStr">
        <is>
          <t>IDENTITY</t>
        </is>
      </c>
      <c r="C6" s="14" t="n"/>
      <c r="D6" s="14" t="n"/>
      <c r="E6" s="14" t="n"/>
      <c r="F6" s="14" t="n"/>
      <c r="G6" s="14" t="n"/>
      <c r="H6" s="14" t="n"/>
    </row>
    <row r="7" ht="24" customHeight="1">
      <c r="B7" s="40" t="inlineStr">
        <is>
          <t>Workbook name</t>
        </is>
      </c>
      <c r="C7" s="41" t="inlineStr">
        <is>
          <t>Meridian</t>
        </is>
      </c>
      <c r="D7" s="42" t="inlineStr">
        <is>
          <t>Shown in the header of every sheet.</t>
        </is>
      </c>
      <c r="E7" s="42" t="n"/>
      <c r="F7" s="42" t="n"/>
      <c r="G7" s="42" t="n"/>
      <c r="H7" s="42" t="n"/>
    </row>
    <row r="8" ht="24" customHeight="1">
      <c r="B8" s="18" t="inlineStr">
        <is>
          <t>YOUR PORTFOLIO</t>
        </is>
      </c>
      <c r="C8" s="19" t="n"/>
      <c r="D8" s="19" t="n"/>
      <c r="E8" s="19" t="n"/>
      <c r="F8" s="19" t="n"/>
      <c r="G8" s="19" t="n"/>
      <c r="H8" s="19" t="n"/>
    </row>
    <row r="9" ht="24" customHeight="1">
      <c r="B9" s="40" t="inlineStr">
        <is>
          <t>Tracking start (first month)</t>
        </is>
      </c>
      <c r="C9" s="43" t="n">
        <v>45658</v>
      </c>
      <c r="D9" s="42" t="inlineStr">
        <is>
          <t>First month of the Performance sheet.</t>
        </is>
      </c>
      <c r="E9" s="42" t="n"/>
      <c r="F9" s="42" t="n"/>
      <c r="G9" s="42" t="n"/>
      <c r="H9" s="42" t="n"/>
    </row>
    <row r="10" ht="24" customHeight="1">
      <c r="B10" s="40" t="inlineStr">
        <is>
          <t>Analysis year</t>
        </is>
      </c>
      <c r="C10" s="44" t="n">
        <v>2026</v>
      </c>
      <c r="D10" s="42" t="inlineStr">
        <is>
          <t>Year used for dividends and monthly tables.</t>
        </is>
      </c>
      <c r="E10" s="42" t="n"/>
      <c r="F10" s="42" t="n"/>
      <c r="G10" s="42" t="n"/>
      <c r="H10" s="42" t="n"/>
    </row>
    <row r="11" ht="24" customHeight="1">
      <c r="B11" s="40" t="inlineStr">
        <is>
          <t>Portfolio value before first month</t>
        </is>
      </c>
      <c r="C11" s="45" t="n">
        <v>0</v>
      </c>
      <c r="D11" s="42" t="inlineStr">
        <is>
          <t>Value of existing holdings at your tracking start (0 if you start fresh).</t>
        </is>
      </c>
      <c r="E11" s="42" t="n"/>
      <c r="F11" s="42" t="n"/>
      <c r="G11" s="42" t="n"/>
      <c r="H11" s="42" t="n"/>
    </row>
    <row r="12" ht="24" customHeight="1">
      <c r="B12" s="40" t="inlineStr">
        <is>
          <t>Max size of a single position</t>
        </is>
      </c>
      <c r="C12" s="46" t="n">
        <v>0.25</v>
      </c>
      <c r="D12" s="42" t="inlineStr">
        <is>
          <t>Guard-rail used by the coach and the Risk sheet.</t>
        </is>
      </c>
      <c r="E12" s="42" t="n"/>
      <c r="F12" s="42" t="n"/>
      <c r="G12" s="42" t="n"/>
      <c r="H12" s="42" t="n"/>
    </row>
    <row r="13" ht="24" customHeight="1">
      <c r="B13" s="40" t="inlineStr">
        <is>
          <t>Rebalancing threshold (points)</t>
        </is>
      </c>
      <c r="C13" s="46" t="n">
        <v>0.05</v>
      </c>
      <c r="D13" s="42" t="inlineStr">
        <is>
          <t>Drift from target that triggers a rebalance suggestion.</t>
        </is>
      </c>
      <c r="E13" s="42" t="n"/>
      <c r="F13" s="42" t="n"/>
      <c r="G13" s="42" t="n"/>
      <c r="H13" s="42" t="n"/>
    </row>
    <row r="15" ht="24" customHeight="1">
      <c r="B15" s="22" t="inlineStr">
        <is>
          <t>COLOR LEGEND</t>
        </is>
      </c>
      <c r="C15" s="23" t="n"/>
      <c r="D15" s="23" t="n"/>
      <c r="E15" s="23" t="n"/>
      <c r="F15" s="23" t="n"/>
      <c r="G15" s="23" t="n"/>
      <c r="H15" s="23" t="n"/>
    </row>
    <row r="16">
      <c r="B16" s="41" t="inlineStr">
        <is>
          <t>Blue cell</t>
        </is>
      </c>
      <c r="C16" s="47" t="inlineStr">
        <is>
          <t>Input: this is where you type.</t>
        </is>
      </c>
      <c r="D16" s="47" t="n"/>
      <c r="E16" s="47" t="n"/>
      <c r="F16" s="47" t="n"/>
      <c r="G16" s="47" t="n"/>
      <c r="H16" s="47" t="n"/>
    </row>
    <row r="17">
      <c r="B17" s="48" t="inlineStr">
        <is>
          <t>Grey cell</t>
        </is>
      </c>
      <c r="C17" s="47" t="inlineStr">
        <is>
          <t>Automatic calculation: do not edit.</t>
        </is>
      </c>
      <c r="D17" s="47" t="n"/>
      <c r="E17" s="47" t="n"/>
      <c r="F17" s="47" t="n"/>
      <c r="G17" s="47" t="n"/>
      <c r="H17" s="47" t="n"/>
    </row>
  </sheetData>
  <mergeCells count="12">
    <mergeCell ref="B8:H8"/>
    <mergeCell ref="D7:H7"/>
    <mergeCell ref="D12:H12"/>
    <mergeCell ref="C16:H16"/>
    <mergeCell ref="G2:H2"/>
    <mergeCell ref="D10:H10"/>
    <mergeCell ref="D11:H11"/>
    <mergeCell ref="D13:H13"/>
    <mergeCell ref="B6:H6"/>
    <mergeCell ref="B15:H15"/>
    <mergeCell ref="C17:H17"/>
    <mergeCell ref="D9:H9"/>
  </mergeCell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N55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1" t="n"/>
      <c r="B2" s="31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32" t="inlineStr">
        <is>
          <t>← Accueil</t>
        </is>
      </c>
      <c r="M2" s="1" t="n"/>
      <c r="N2" s="1" t="n"/>
    </row>
    <row r="3" ht="18" customHeight="1">
      <c r="A3" s="1" t="n"/>
      <c r="B3" s="4" t="inlineStr">
        <is>
          <t>Your whole portfolio at a glance. Updates automatically from Transactions and Holdings.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24" customHeight="1">
      <c r="B5" s="13" t="inlineStr">
        <is>
          <t>OVERVIEW</t>
        </is>
      </c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</row>
    <row r="6" ht="20" customHeight="1">
      <c r="B6" s="49" t="inlineStr">
        <is>
          <t>PORTFOLIO VALUE</t>
        </is>
      </c>
      <c r="C6" s="49" t="n"/>
      <c r="D6" s="50" t="inlineStr">
        <is>
          <t>TOTAL INVESTED</t>
        </is>
      </c>
      <c r="E6" s="50" t="n"/>
      <c r="F6" s="51" t="inlineStr">
        <is>
          <t>UNREALIZED P&amp;L</t>
        </is>
      </c>
      <c r="G6" s="51" t="n"/>
      <c r="H6" s="52" t="inlineStr">
        <is>
          <t>REALIZED P&amp;L</t>
        </is>
      </c>
      <c r="I6" s="52" t="n"/>
      <c r="J6" s="51" t="inlineStr">
        <is>
          <t>DIVIDENDS</t>
        </is>
      </c>
      <c r="K6" s="51" t="n"/>
      <c r="L6" s="49" t="inlineStr">
        <is>
          <t>TOTAL RETURN</t>
        </is>
      </c>
      <c r="M6" s="49" t="n"/>
    </row>
    <row r="7" ht="38" customHeight="1">
      <c r="B7" s="53">
        <f>'Holdings'!$K$47</f>
        <v/>
      </c>
      <c r="C7" s="53" t="n"/>
      <c r="D7" s="53">
        <f>'Data'!$B$69</f>
        <v/>
      </c>
      <c r="E7" s="53" t="n"/>
      <c r="F7" s="54">
        <f>'Holdings'!$L$47</f>
        <v/>
      </c>
      <c r="G7" s="54" t="n"/>
      <c r="H7" s="54">
        <f>'Holdings'!$N$47</f>
        <v/>
      </c>
      <c r="I7" s="54" t="n"/>
      <c r="J7" s="53">
        <f>'Holdings'!$O$47</f>
        <v/>
      </c>
      <c r="K7" s="53" t="n"/>
      <c r="L7" s="55">
        <f>'Holdings'!$Q$47</f>
        <v/>
      </c>
      <c r="M7" s="55" t="n"/>
    </row>
    <row r="8" ht="20" customHeight="1">
      <c r="B8" s="56">
        <f>"Cost basis: "&amp;FIXED('Holdings'!$J$47,0)</f>
        <v/>
      </c>
      <c r="C8" s="56" t="n"/>
      <c r="D8" s="56">
        <f>"Sum of all buys"</f>
        <v/>
      </c>
      <c r="E8" s="56" t="n"/>
      <c r="F8" s="56">
        <f>ROUND('Holdings'!$M$47*100,1)&amp;"% on cost"</f>
        <v/>
      </c>
      <c r="G8" s="56" t="n"/>
      <c r="H8" s="56">
        <f>"From positions sold"</f>
        <v/>
      </c>
      <c r="I8" s="56" t="n"/>
      <c r="J8" s="56">
        <f>"This year: "&amp;FIXED('Dividends'!$C$20,0)</f>
        <v/>
      </c>
      <c r="K8" s="56" t="n"/>
      <c r="L8" s="56">
        <f>"Gain: "&amp;FIXED('Holdings'!$P$47,0)</f>
        <v/>
      </c>
      <c r="M8" s="56" t="n"/>
    </row>
    <row r="9" ht="8" customHeight="1"/>
    <row r="10" ht="20" customHeight="1">
      <c r="B10" s="50" t="inlineStr">
        <is>
          <t>HOLDINGS</t>
        </is>
      </c>
      <c r="C10" s="50" t="n"/>
      <c r="D10" s="51" t="inlineStr">
        <is>
          <t>BEST PERFORMER</t>
        </is>
      </c>
      <c r="E10" s="51" t="n"/>
      <c r="F10" s="57" t="inlineStr">
        <is>
          <t>WORST PERFORMER</t>
        </is>
      </c>
      <c r="G10" s="57" t="n"/>
      <c r="H10" s="58" t="inlineStr">
        <is>
          <t>LARGEST POSITION</t>
        </is>
      </c>
      <c r="I10" s="58" t="n"/>
      <c r="J10" s="52" t="inlineStr">
        <is>
          <t>DIVIDEND YIELD</t>
        </is>
      </c>
      <c r="K10" s="52" t="n"/>
      <c r="L10" s="57" t="inlineStr">
        <is>
          <t>TOTAL FEES</t>
        </is>
      </c>
      <c r="M10" s="57" t="n"/>
    </row>
    <row r="11" ht="38" customHeight="1">
      <c r="B11" s="59">
        <f>COUNT('Holdings'!$K$7:$K$46)</f>
        <v/>
      </c>
      <c r="C11" s="59" t="n"/>
      <c r="D11" s="60">
        <f>'Data'!$B$62</f>
        <v/>
      </c>
      <c r="E11" s="60" t="n"/>
      <c r="F11" s="60">
        <f>'Data'!$B$63</f>
        <v/>
      </c>
      <c r="G11" s="60" t="n"/>
      <c r="H11" s="61">
        <f>'Risk'!C8</f>
        <v/>
      </c>
      <c r="I11" s="61" t="n"/>
      <c r="J11" s="62">
        <f>IF(B7=0,0,'Dividends'!$C$20/B7)</f>
        <v/>
      </c>
      <c r="K11" s="62" t="n"/>
      <c r="L11" s="53">
        <f>'Data'!$B$68</f>
        <v/>
      </c>
      <c r="M11" s="53" t="n"/>
    </row>
    <row r="12" ht="20" customHeight="1">
      <c r="B12" s="56">
        <f>"Effective: "&amp;ROUND('Risk'!C11,1)</f>
        <v/>
      </c>
      <c r="C12" s="56" t="n"/>
      <c r="D12" s="56">
        <f>ROUND('Data'!$B$64*100,1)&amp;"% unrealized"</f>
        <v/>
      </c>
      <c r="E12" s="56" t="n"/>
      <c r="F12" s="56">
        <f>ROUND('Data'!$B$65*100,1)&amp;"% unrealized"</f>
        <v/>
      </c>
      <c r="G12" s="56" t="n"/>
      <c r="H12" s="56">
        <f>"Max allowed: "&amp;ROUND('Settings'!$C$12*100,0)&amp;"%"</f>
        <v/>
      </c>
      <c r="I12" s="56" t="n"/>
      <c r="J12" s="56">
        <f>"Year dividends / value"</f>
        <v/>
      </c>
      <c r="K12" s="56" t="n"/>
      <c r="L12" s="56">
        <f>"Trading fees paid"</f>
        <v/>
      </c>
      <c r="M12" s="56" t="n"/>
    </row>
    <row r="14" ht="24" customHeight="1">
      <c r="B14" s="22" t="inlineStr">
        <is>
          <t>COACH · AUTOMATIC INSIGHTS</t>
        </is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</row>
    <row r="15" ht="30" customHeight="1">
      <c r="B15" s="63">
        <f>IF(B7=0,"INFO",IF('Risk'!C8&gt;'Settings'!$C$12,"ALERT",IF('Risk'!C8&gt;'Settings'!$C$12*0.8,"WATCH","GOOD")))</f>
        <v/>
      </c>
      <c r="C15" s="64">
        <f>IF(B7=0,"Add your holdings and transactions to unlock the coach.","Your largest position is "&amp;ROUND('Risk'!C8*100,1)&amp;"% of the portfolio (limit "&amp;ROUND('Settings'!$C$12*100,0)&amp;"%)"&amp;IF('Risk'!C8&gt;'Settings'!$C$12,": consider trimming it.",": within your guard-rail."))</f>
        <v/>
      </c>
      <c r="D15" s="64" t="n"/>
      <c r="E15" s="64" t="n"/>
      <c r="F15" s="64" t="n"/>
      <c r="G15" s="64" t="n"/>
      <c r="H15" s="64" t="n"/>
      <c r="I15" s="64" t="n"/>
      <c r="J15" s="64" t="n"/>
      <c r="K15" s="64" t="n"/>
      <c r="L15" s="64" t="n"/>
      <c r="M15" s="64" t="n"/>
    </row>
    <row r="16" ht="30" customHeight="1">
      <c r="B16" s="65">
        <f>IF(B7=0,"INFO",IF('Data'!B66&gt;'Settings'!$C$13*2,"ALERT",IF('Data'!B66&gt;'Settings'!$C$13,"WATCH","GOOD")))</f>
        <v/>
      </c>
      <c r="C16" s="66">
        <f>IF(B7=0,"Set your target allocation to see how far you have drifted.",IF('Allocation'!C18=0,"Set target percentages in the Allocation sheet to measure drift.","Largest drift from target is "&amp;ROUND('Data'!B66*100,1)&amp;" points"&amp;IF('Data'!B66&gt;'Settings'!$C$13,": time to rebalance (see Allocation for amounts).",": allocation is on track.")))</f>
        <v/>
      </c>
      <c r="D16" s="66" t="n"/>
      <c r="E16" s="66" t="n"/>
      <c r="F16" s="66" t="n"/>
      <c r="G16" s="66" t="n"/>
      <c r="H16" s="66" t="n"/>
      <c r="I16" s="66" t="n"/>
      <c r="J16" s="66" t="n"/>
      <c r="K16" s="66" t="n"/>
      <c r="L16" s="66" t="n"/>
      <c r="M16" s="66" t="n"/>
    </row>
    <row r="17" ht="30" customHeight="1">
      <c r="B17" s="63">
        <f>IF(B7=0,"INFO",IF('Data'!B67&gt;0.7,"WATCH","GOOD"))</f>
        <v/>
      </c>
      <c r="C17" s="64">
        <f>IF(B7=0,"No allocation data yet.","Your largest asset class represents "&amp;ROUND('Data'!B67*100,0)&amp;"% of the portfolio"&amp;IF('Data'!B67&gt;0.7,": the portfolio is concentrated in one asset class.",": spread looks healthy."))</f>
        <v/>
      </c>
      <c r="D17" s="64" t="n"/>
      <c r="E17" s="64" t="n"/>
      <c r="F17" s="64" t="n"/>
      <c r="G17" s="64" t="n"/>
      <c r="H17" s="64" t="n"/>
      <c r="I17" s="64" t="n"/>
      <c r="J17" s="64" t="n"/>
      <c r="K17" s="64" t="n"/>
      <c r="L17" s="64" t="n"/>
      <c r="M17" s="64" t="n"/>
    </row>
    <row r="18" ht="30" customHeight="1">
      <c r="B18" s="65">
        <f>IF('Data'!B69=0,"INFO",IF(L7&gt;0,"GOOD","WATCH"))</f>
        <v/>
      </c>
      <c r="C18" s="66">
        <f>IF('Data'!B69=0,"Log your first buy to measure your return.","Total return is "&amp;ROUND(L7*100,1)&amp;"% on money invested, including dividends and realized gains"&amp;IF(L7&gt;0,".",": markets fluctuate, judge your plan over years, not months."))</f>
        <v/>
      </c>
      <c r="D18" s="66" t="n"/>
      <c r="E18" s="66" t="n"/>
      <c r="F18" s="66" t="n"/>
      <c r="G18" s="66" t="n"/>
      <c r="H18" s="66" t="n"/>
      <c r="I18" s="66" t="n"/>
      <c r="J18" s="66" t="n"/>
      <c r="K18" s="66" t="n"/>
      <c r="L18" s="66" t="n"/>
      <c r="M18" s="66" t="n"/>
    </row>
    <row r="19" ht="30" customHeight="1">
      <c r="B19" s="63">
        <f>IF(B7=0,"INFO",IF('Data'!B68/MAX(1,'Data'!B69)&gt;0.01,"WATCH","GOOD"))</f>
        <v/>
      </c>
      <c r="C19" s="64">
        <f>IF(B7=0,"No fee data yet.","Fees paid equal "&amp;ROUND('Data'!B68/MAX(1,'Data'!B69)*100,2)&amp;"% of the money invested"&amp;IF('Data'!B68/MAX(1,'Data'!B69)&gt;0.01,": review your broker costs and trade less often.",": costs are under control."))</f>
        <v/>
      </c>
      <c r="D19" s="64" t="n"/>
      <c r="E19" s="64" t="n"/>
      <c r="F19" s="64" t="n"/>
      <c r="G19" s="64" t="n"/>
      <c r="H19" s="64" t="n"/>
      <c r="I19" s="64" t="n"/>
      <c r="J19" s="64" t="n"/>
      <c r="K19" s="64" t="n"/>
      <c r="L19" s="64" t="n"/>
      <c r="M19" s="64" t="n"/>
    </row>
    <row r="20" ht="30" customHeight="1">
      <c r="B20" s="65">
        <f>IF('Planner'!C17=0,"INFO",IF('Planner'!C18&gt;=1,"GOOD","WATCH"))</f>
        <v/>
      </c>
      <c r="C20" s="66">
        <f>IF('Planner'!C17=0,"Set your spending in the Planner to get your freedom number.","You are "&amp;ROUND('Planner'!C18*100,1)&amp;"% of the way to your freedom number"&amp;IF(ISNUMBER('Planner'!C19),", about "&amp;ROUND('Planner'!C19,1)&amp;" years away at your current pace.","."))</f>
        <v/>
      </c>
      <c r="D20" s="66" t="n"/>
      <c r="E20" s="66" t="n"/>
      <c r="F20" s="66" t="n"/>
      <c r="G20" s="66" t="n"/>
      <c r="H20" s="66" t="n"/>
      <c r="I20" s="66" t="n"/>
      <c r="J20" s="66" t="n"/>
      <c r="K20" s="66" t="n"/>
      <c r="L20" s="66" t="n"/>
      <c r="M20" s="66" t="n"/>
    </row>
    <row r="22" ht="24" customHeight="1">
      <c r="B22" s="13" t="inlineStr">
        <is>
          <t>GROWTH</t>
        </is>
      </c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</row>
    <row r="55" ht="24" customHeight="1">
      <c r="B55" s="22" t="inlineStr">
        <is>
          <t>ALLOCATION &amp; POSITIONS</t>
        </is>
      </c>
      <c r="C55" s="23" t="n"/>
      <c r="D55" s="23" t="n"/>
      <c r="E55" s="23" t="n"/>
      <c r="F55" s="23" t="n"/>
      <c r="G55" s="23" t="n"/>
      <c r="H55" s="23" t="n"/>
      <c r="I55" s="23" t="n"/>
      <c r="J55" s="23" t="n"/>
      <c r="K55" s="23" t="n"/>
      <c r="L55" s="23" t="n"/>
      <c r="M55" s="23" t="n"/>
    </row>
  </sheetData>
  <mergeCells count="47">
    <mergeCell ref="L2:M2"/>
    <mergeCell ref="F11:G11"/>
    <mergeCell ref="L7:M7"/>
    <mergeCell ref="B7:C7"/>
    <mergeCell ref="D10:E10"/>
    <mergeCell ref="F10:G10"/>
    <mergeCell ref="H10:I10"/>
    <mergeCell ref="J10:K10"/>
    <mergeCell ref="C15:M15"/>
    <mergeCell ref="B14:M14"/>
    <mergeCell ref="F6:G6"/>
    <mergeCell ref="F7:G7"/>
    <mergeCell ref="B12:C12"/>
    <mergeCell ref="D6:E6"/>
    <mergeCell ref="F12:G12"/>
    <mergeCell ref="L12:M12"/>
    <mergeCell ref="H6:I6"/>
    <mergeCell ref="C20:M20"/>
    <mergeCell ref="B11:C11"/>
    <mergeCell ref="J6:K6"/>
    <mergeCell ref="D11:E11"/>
    <mergeCell ref="C16:M16"/>
    <mergeCell ref="L8:M8"/>
    <mergeCell ref="B8:C8"/>
    <mergeCell ref="F8:G8"/>
    <mergeCell ref="B55:M55"/>
    <mergeCell ref="H11:I11"/>
    <mergeCell ref="J11:K11"/>
    <mergeCell ref="D7:E7"/>
    <mergeCell ref="B5:M5"/>
    <mergeCell ref="H7:I7"/>
    <mergeCell ref="L10:M10"/>
    <mergeCell ref="J7:K7"/>
    <mergeCell ref="B10:C10"/>
    <mergeCell ref="D12:E12"/>
    <mergeCell ref="C17:M17"/>
    <mergeCell ref="D8:E8"/>
    <mergeCell ref="B6:C6"/>
    <mergeCell ref="H12:I12"/>
    <mergeCell ref="J12:K12"/>
    <mergeCell ref="L6:M6"/>
    <mergeCell ref="B22:M22"/>
    <mergeCell ref="L11:M11"/>
    <mergeCell ref="C19:M19"/>
    <mergeCell ref="H8:I8"/>
    <mergeCell ref="J8:K8"/>
    <mergeCell ref="C18:M18"/>
  </mergeCells>
  <conditionalFormatting sqref="B15:B20">
    <cfRule type="cellIs" priority="1" operator="equal" dxfId="0">
      <formula>"GOOD"</formula>
    </cfRule>
    <cfRule type="cellIs" priority="2" operator="equal" dxfId="1">
      <formula>"ALERT"</formula>
    </cfRule>
    <cfRule type="cellIs" priority="3" operator="equal" dxfId="2">
      <formula>"WATCH"</formula>
    </cfRule>
    <cfRule type="cellIs" priority="4" operator="equal" dxfId="3">
      <formula>"INFO"</formula>
    </cfRule>
  </conditionalFormatting>
  <conditionalFormatting sqref="F7">
    <cfRule type="cellIs" priority="5" operator="lessThan" dxfId="4">
      <formula>0</formula>
    </cfRule>
    <cfRule type="cellIs" priority="6" operator="greaterThan" dxfId="5">
      <formula>0</formula>
    </cfRule>
  </conditionalFormatting>
  <conditionalFormatting sqref="H7">
    <cfRule type="cellIs" priority="7" operator="lessThan" dxfId="4">
      <formula>0</formula>
    </cfRule>
    <cfRule type="cellIs" priority="8" operator="greaterThan" dxfId="5">
      <formula>0</formula>
    </cfRule>
  </conditionalFormatting>
  <conditionalFormatting sqref="L7">
    <cfRule type="cellIs" priority="9" operator="lessThan" dxfId="4">
      <formula>0</formula>
    </cfRule>
    <cfRule type="cellIs" priority="10" operator="greaterThan" dxfId="5">
      <formula>0</formula>
    </cfRule>
  </conditionalFormatting>
  <hyperlinks>
    <hyperlink ref="L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L1005"/>
  <sheetViews>
    <sheetView showGridLines="0" tabSelected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32" customWidth="1" min="8" max="8"/>
    <col width="14" customWidth="1" min="9" max="9"/>
    <col width="14" customWidth="1" min="10" max="10"/>
    <col hidden="1" width="12" customWidth="1" min="11" max="11"/>
    <col hidden="1" width="8" customWidth="1" min="12" max="12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1" t="n"/>
      <c r="B2" s="31" t="inlineStr">
        <is>
          <t>Transactions</t>
        </is>
      </c>
      <c r="C2" s="1" t="n"/>
      <c r="D2" s="1" t="n"/>
      <c r="E2" s="1" t="n"/>
      <c r="F2" s="1" t="n"/>
      <c r="G2" s="32" t="inlineStr">
        <is>
          <t>← Accueil</t>
        </is>
      </c>
      <c r="H2" s="1" t="n"/>
      <c r="I2" s="1" t="n"/>
      <c r="J2" s="1" t="n"/>
      <c r="K2" s="1" t="n"/>
      <c r="L2" s="1" t="n"/>
    </row>
    <row r="3" ht="18" customHeight="1">
      <c r="A3" s="1" t="n"/>
      <c r="B3" s="4" t="inlineStr">
        <is>
          <t>Every buy, sell, dividend and fee. For dividends enter shares and dividend per share; for fees enter quantity 1 and the fee as price.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32" customHeight="1">
      <c r="A5" s="67" t="inlineStr">
        <is>
          <t>#</t>
        </is>
      </c>
      <c r="B5" s="67" t="inlineStr">
        <is>
          <t>Date</t>
        </is>
      </c>
      <c r="C5" s="67" t="inlineStr">
        <is>
          <t>Ticker</t>
        </is>
      </c>
      <c r="D5" s="67" t="inlineStr">
        <is>
          <t>Type</t>
        </is>
      </c>
      <c r="E5" s="67" t="inlineStr">
        <is>
          <t>Quantity</t>
        </is>
      </c>
      <c r="F5" s="67" t="inlineStr">
        <is>
          <t>Price</t>
        </is>
      </c>
      <c r="G5" s="67" t="inlineStr">
        <is>
          <t>Fees</t>
        </is>
      </c>
      <c r="H5" s="67" t="inlineStr">
        <is>
          <t>Notes</t>
        </is>
      </c>
      <c r="I5" s="68" t="inlineStr">
        <is>
          <t>Gross</t>
        </is>
      </c>
      <c r="J5" s="68" t="inlineStr">
        <is>
          <t>Net amount</t>
        </is>
      </c>
      <c r="K5" s="68" t="inlineStr">
        <is>
          <t>Month</t>
        </is>
      </c>
      <c r="L5" s="68" t="inlineStr">
        <is>
          <t>Year</t>
        </is>
      </c>
    </row>
    <row r="6" ht="19" customHeight="1">
      <c r="A6" s="69">
        <f>IF(B6="","",ROW()-5)</f>
        <v/>
      </c>
      <c r="B6" s="43" t="n">
        <v>45660</v>
      </c>
      <c r="C6" s="41" t="inlineStr">
        <is>
          <t>WRLD</t>
        </is>
      </c>
      <c r="D6" s="41" t="inlineStr">
        <is>
          <t>Buy</t>
        </is>
      </c>
      <c r="E6" s="70" t="n">
        <v>2.7644</v>
      </c>
      <c r="F6" s="71" t="n">
        <v>90.43000000000001</v>
      </c>
      <c r="G6" s="72" t="n">
        <v>1</v>
      </c>
      <c r="H6" s="73" t="n"/>
      <c r="I6" s="74">
        <f>IF(OR(E6="",F6=""),"",E6*F6)</f>
        <v/>
      </c>
      <c r="J6" s="75">
        <f>IF(I6="","",IF(D6="Buy",I6+N(G6),IF(D6="Sell",I6-N(G6),IF(D6="Dividend",I6-N(G6),I6+N(G6)))))</f>
        <v/>
      </c>
      <c r="K6" s="76">
        <f>IF(B6="","",DATE(YEAR(B6),MONTH(B6),1))</f>
        <v/>
      </c>
      <c r="L6" s="77">
        <f>IF(B6="","",YEAR(B6))</f>
        <v/>
      </c>
    </row>
    <row r="7" ht="19" customHeight="1">
      <c r="A7" s="69">
        <f>IF(B7="","",ROW()-5)</f>
        <v/>
      </c>
      <c r="B7" s="43" t="n">
        <v>45660</v>
      </c>
      <c r="C7" s="41" t="inlineStr">
        <is>
          <t>USMK</t>
        </is>
      </c>
      <c r="D7" s="41" t="inlineStr">
        <is>
          <t>Buy</t>
        </is>
      </c>
      <c r="E7" s="70" t="n">
        <v>1.6815</v>
      </c>
      <c r="F7" s="71" t="n">
        <v>118.94</v>
      </c>
      <c r="G7" s="72" t="n">
        <v>1</v>
      </c>
      <c r="H7" s="73" t="n"/>
      <c r="I7" s="74">
        <f>IF(OR(E7="",F7=""),"",E7*F7)</f>
        <v/>
      </c>
      <c r="J7" s="75">
        <f>IF(I7="","",IF(D7="Buy",I7+N(G7),IF(D7="Sell",I7-N(G7),IF(D7="Dividend",I7-N(G7),I7+N(G7)))))</f>
        <v/>
      </c>
      <c r="K7" s="76">
        <f>IF(B7="","",DATE(YEAR(B7),MONTH(B7),1))</f>
        <v/>
      </c>
      <c r="L7" s="77">
        <f>IF(B7="","",YEAR(B7))</f>
        <v/>
      </c>
    </row>
    <row r="8" ht="19" customHeight="1">
      <c r="A8" s="69">
        <f>IF(B8="","",ROW()-5)</f>
        <v/>
      </c>
      <c r="B8" s="43" t="n">
        <v>45660</v>
      </c>
      <c r="C8" s="41" t="inlineStr">
        <is>
          <t>AGGB</t>
        </is>
      </c>
      <c r="D8" s="41" t="inlineStr">
        <is>
          <t>Buy</t>
        </is>
      </c>
      <c r="E8" s="70" t="n">
        <v>2.8991</v>
      </c>
      <c r="F8" s="71" t="n">
        <v>51.74</v>
      </c>
      <c r="G8" s="72" t="n">
        <v>1</v>
      </c>
      <c r="H8" s="73" t="n"/>
      <c r="I8" s="74">
        <f>IF(OR(E8="",F8=""),"",E8*F8)</f>
        <v/>
      </c>
      <c r="J8" s="75">
        <f>IF(I8="","",IF(D8="Buy",I8+N(G8),IF(D8="Sell",I8-N(G8),IF(D8="Dividend",I8-N(G8),I8+N(G8)))))</f>
        <v/>
      </c>
      <c r="K8" s="76">
        <f>IF(B8="","",DATE(YEAR(B8),MONTH(B8),1))</f>
        <v/>
      </c>
      <c r="L8" s="77">
        <f>IF(B8="","",YEAR(B8))</f>
        <v/>
      </c>
    </row>
    <row r="9" ht="19" customHeight="1">
      <c r="A9" s="69">
        <f>IF(B9="","",ROW()-5)</f>
        <v/>
      </c>
      <c r="B9" s="43" t="n">
        <v>45660</v>
      </c>
      <c r="C9" s="41" t="inlineStr">
        <is>
          <t>EMKT</t>
        </is>
      </c>
      <c r="D9" s="41" t="inlineStr">
        <is>
          <t>Buy</t>
        </is>
      </c>
      <c r="E9" s="70" t="n">
        <v>2.362</v>
      </c>
      <c r="F9" s="71" t="n">
        <v>42.34</v>
      </c>
      <c r="G9" s="72" t="n">
        <v>1</v>
      </c>
      <c r="H9" s="73" t="n"/>
      <c r="I9" s="74">
        <f>IF(OR(E9="",F9=""),"",E9*F9)</f>
        <v/>
      </c>
      <c r="J9" s="75">
        <f>IF(I9="","",IF(D9="Buy",I9+N(G9),IF(D9="Sell",I9-N(G9),IF(D9="Dividend",I9-N(G9),I9+N(G9)))))</f>
        <v/>
      </c>
      <c r="K9" s="76">
        <f>IF(B9="","",DATE(YEAR(B9),MONTH(B9),1))</f>
        <v/>
      </c>
      <c r="L9" s="77">
        <f>IF(B9="","",YEAR(B9))</f>
        <v/>
      </c>
    </row>
    <row r="10" ht="19" customHeight="1">
      <c r="A10" s="69">
        <f>IF(B10="","",ROW()-5)</f>
        <v/>
      </c>
      <c r="B10" s="43" t="n">
        <v>45669</v>
      </c>
      <c r="C10" s="41" t="inlineStr">
        <is>
          <t>TECH</t>
        </is>
      </c>
      <c r="D10" s="41" t="inlineStr">
        <is>
          <t>Buy</t>
        </is>
      </c>
      <c r="E10" s="70" t="n">
        <v>4</v>
      </c>
      <c r="F10" s="71" t="n">
        <v>236.66</v>
      </c>
      <c r="G10" s="72" t="n">
        <v>1.5</v>
      </c>
      <c r="H10" s="73" t="n"/>
      <c r="I10" s="74">
        <f>IF(OR(E10="",F10=""),"",E10*F10)</f>
        <v/>
      </c>
      <c r="J10" s="75">
        <f>IF(I10="","",IF(D10="Buy",I10+N(G10),IF(D10="Sell",I10-N(G10),IF(D10="Dividend",I10-N(G10),I10+N(G10)))))</f>
        <v/>
      </c>
      <c r="K10" s="76">
        <f>IF(B10="","",DATE(YEAR(B10),MONTH(B10),1))</f>
        <v/>
      </c>
      <c r="L10" s="77">
        <f>IF(B10="","",YEAR(B10))</f>
        <v/>
      </c>
    </row>
    <row r="11" ht="19" customHeight="1">
      <c r="A11" s="69">
        <f>IF(B11="","",ROW()-5)</f>
        <v/>
      </c>
      <c r="B11" s="43" t="n">
        <v>45673</v>
      </c>
      <c r="C11" s="41" t="inlineStr">
        <is>
          <t>BANK</t>
        </is>
      </c>
      <c r="D11" s="41" t="inlineStr">
        <is>
          <t>Buy</t>
        </is>
      </c>
      <c r="E11" s="70" t="n">
        <v>8</v>
      </c>
      <c r="F11" s="71" t="n">
        <v>58.3</v>
      </c>
      <c r="G11" s="72" t="n">
        <v>1.5</v>
      </c>
      <c r="H11" s="73" t="n"/>
      <c r="I11" s="74">
        <f>IF(OR(E11="",F11=""),"",E11*F11)</f>
        <v/>
      </c>
      <c r="J11" s="75">
        <f>IF(I11="","",IF(D11="Buy",I11+N(G11),IF(D11="Sell",I11-N(G11),IF(D11="Dividend",I11-N(G11),I11+N(G11)))))</f>
        <v/>
      </c>
      <c r="K11" s="76">
        <f>IF(B11="","",DATE(YEAR(B11),MONTH(B11),1))</f>
        <v/>
      </c>
      <c r="L11" s="77">
        <f>IF(B11="","",YEAR(B11))</f>
        <v/>
      </c>
    </row>
    <row r="12" ht="19" customHeight="1">
      <c r="A12" s="69">
        <f>IF(B12="","",ROW()-5)</f>
        <v/>
      </c>
      <c r="B12" s="43" t="n">
        <v>45691</v>
      </c>
      <c r="C12" s="41" t="inlineStr">
        <is>
          <t>WRLD</t>
        </is>
      </c>
      <c r="D12" s="41" t="inlineStr">
        <is>
          <t>Buy</t>
        </is>
      </c>
      <c r="E12" s="70" t="n">
        <v>2.702</v>
      </c>
      <c r="F12" s="71" t="n">
        <v>92.52</v>
      </c>
      <c r="G12" s="72" t="n">
        <v>1</v>
      </c>
      <c r="H12" s="73" t="n"/>
      <c r="I12" s="74">
        <f>IF(OR(E12="",F12=""),"",E12*F12)</f>
        <v/>
      </c>
      <c r="J12" s="75">
        <f>IF(I12="","",IF(D12="Buy",I12+N(G12),IF(D12="Sell",I12-N(G12),IF(D12="Dividend",I12-N(G12),I12+N(G12)))))</f>
        <v/>
      </c>
      <c r="K12" s="76">
        <f>IF(B12="","",DATE(YEAR(B12),MONTH(B12),1))</f>
        <v/>
      </c>
      <c r="L12" s="77">
        <f>IF(B12="","",YEAR(B12))</f>
        <v/>
      </c>
    </row>
    <row r="13" ht="19" customHeight="1">
      <c r="A13" s="69">
        <f>IF(B13="","",ROW()-5)</f>
        <v/>
      </c>
      <c r="B13" s="43" t="n">
        <v>45691</v>
      </c>
      <c r="C13" s="41" t="inlineStr">
        <is>
          <t>USMK</t>
        </is>
      </c>
      <c r="D13" s="41" t="inlineStr">
        <is>
          <t>Buy</t>
        </is>
      </c>
      <c r="E13" s="70" t="n">
        <v>1.675</v>
      </c>
      <c r="F13" s="71" t="n">
        <v>119.4</v>
      </c>
      <c r="G13" s="72" t="n">
        <v>1</v>
      </c>
      <c r="H13" s="73" t="n"/>
      <c r="I13" s="74">
        <f>IF(OR(E13="",F13=""),"",E13*F13)</f>
        <v/>
      </c>
      <c r="J13" s="75">
        <f>IF(I13="","",IF(D13="Buy",I13+N(G13),IF(D13="Sell",I13-N(G13),IF(D13="Dividend",I13-N(G13),I13+N(G13)))))</f>
        <v/>
      </c>
      <c r="K13" s="76">
        <f>IF(B13="","",DATE(YEAR(B13),MONTH(B13),1))</f>
        <v/>
      </c>
      <c r="L13" s="77">
        <f>IF(B13="","",YEAR(B13))</f>
        <v/>
      </c>
    </row>
    <row r="14" ht="19" customHeight="1">
      <c r="A14" s="69">
        <f>IF(B14="","",ROW()-5)</f>
        <v/>
      </c>
      <c r="B14" s="43" t="n">
        <v>45691</v>
      </c>
      <c r="C14" s="41" t="inlineStr">
        <is>
          <t>AGGB</t>
        </is>
      </c>
      <c r="D14" s="41" t="inlineStr">
        <is>
          <t>Buy</t>
        </is>
      </c>
      <c r="E14" s="70" t="n">
        <v>2.8673</v>
      </c>
      <c r="F14" s="71" t="n">
        <v>52.31</v>
      </c>
      <c r="G14" s="72" t="n">
        <v>1</v>
      </c>
      <c r="H14" s="73" t="n"/>
      <c r="I14" s="74">
        <f>IF(OR(E14="",F14=""),"",E14*F14)</f>
        <v/>
      </c>
      <c r="J14" s="75">
        <f>IF(I14="","",IF(D14="Buy",I14+N(G14),IF(D14="Sell",I14-N(G14),IF(D14="Dividend",I14-N(G14),I14+N(G14)))))</f>
        <v/>
      </c>
      <c r="K14" s="76">
        <f>IF(B14="","",DATE(YEAR(B14),MONTH(B14),1))</f>
        <v/>
      </c>
      <c r="L14" s="77">
        <f>IF(B14="","",YEAR(B14))</f>
        <v/>
      </c>
    </row>
    <row r="15" ht="19" customHeight="1">
      <c r="A15" s="69">
        <f>IF(B15="","",ROW()-5)</f>
        <v/>
      </c>
      <c r="B15" s="43" t="n">
        <v>45691</v>
      </c>
      <c r="C15" s="41" t="inlineStr">
        <is>
          <t>EMKT</t>
        </is>
      </c>
      <c r="D15" s="41" t="inlineStr">
        <is>
          <t>Buy</t>
        </is>
      </c>
      <c r="E15" s="70" t="n">
        <v>2.4632</v>
      </c>
      <c r="F15" s="71" t="n">
        <v>40.6</v>
      </c>
      <c r="G15" s="72" t="n">
        <v>1</v>
      </c>
      <c r="H15" s="73" t="n"/>
      <c r="I15" s="74">
        <f>IF(OR(E15="",F15=""),"",E15*F15)</f>
        <v/>
      </c>
      <c r="J15" s="75">
        <f>IF(I15="","",IF(D15="Buy",I15+N(G15),IF(D15="Sell",I15-N(G15),IF(D15="Dividend",I15-N(G15),I15+N(G15)))))</f>
        <v/>
      </c>
      <c r="K15" s="76">
        <f>IF(B15="","",DATE(YEAR(B15),MONTH(B15),1))</f>
        <v/>
      </c>
      <c r="L15" s="77">
        <f>IF(B15="","",YEAR(B15))</f>
        <v/>
      </c>
    </row>
    <row r="16" ht="19" customHeight="1">
      <c r="A16" s="69">
        <f>IF(B16="","",ROW()-5)</f>
        <v/>
      </c>
      <c r="B16" s="43" t="n">
        <v>45700</v>
      </c>
      <c r="C16" s="41" t="inlineStr">
        <is>
          <t>HLTH</t>
        </is>
      </c>
      <c r="D16" s="41" t="inlineStr">
        <is>
          <t>Buy</t>
        </is>
      </c>
      <c r="E16" s="70" t="n">
        <v>6</v>
      </c>
      <c r="F16" s="71" t="n">
        <v>120.56</v>
      </c>
      <c r="G16" s="72" t="n">
        <v>1.5</v>
      </c>
      <c r="H16" s="73" t="n"/>
      <c r="I16" s="74">
        <f>IF(OR(E16="",F16=""),"",E16*F16)</f>
        <v/>
      </c>
      <c r="J16" s="75">
        <f>IF(I16="","",IF(D16="Buy",I16+N(G16),IF(D16="Sell",I16-N(G16),IF(D16="Dividend",I16-N(G16),I16+N(G16)))))</f>
        <v/>
      </c>
      <c r="K16" s="76">
        <f>IF(B16="","",DATE(YEAR(B16),MONTH(B16),1))</f>
        <v/>
      </c>
      <c r="L16" s="77">
        <f>IF(B16="","",YEAR(B16))</f>
        <v/>
      </c>
    </row>
    <row r="17" ht="19" customHeight="1">
      <c r="A17" s="69">
        <f>IF(B17="","",ROW()-5)</f>
        <v/>
      </c>
      <c r="B17" s="43" t="n">
        <v>45704</v>
      </c>
      <c r="C17" s="41" t="inlineStr">
        <is>
          <t>ENRG</t>
        </is>
      </c>
      <c r="D17" s="41" t="inlineStr">
        <is>
          <t>Buy</t>
        </is>
      </c>
      <c r="E17" s="70" t="n">
        <v>10</v>
      </c>
      <c r="F17" s="71" t="n">
        <v>42.18</v>
      </c>
      <c r="G17" s="72" t="n">
        <v>1.5</v>
      </c>
      <c r="H17" s="73" t="n"/>
      <c r="I17" s="74">
        <f>IF(OR(E17="",F17=""),"",E17*F17)</f>
        <v/>
      </c>
      <c r="J17" s="75">
        <f>IF(I17="","",IF(D17="Buy",I17+N(G17),IF(D17="Sell",I17-N(G17),IF(D17="Dividend",I17-N(G17),I17+N(G17)))))</f>
        <v/>
      </c>
      <c r="K17" s="76">
        <f>IF(B17="","",DATE(YEAR(B17),MONTH(B17),1))</f>
        <v/>
      </c>
      <c r="L17" s="77">
        <f>IF(B17="","",YEAR(B17))</f>
        <v/>
      </c>
    </row>
    <row r="18" ht="19" customHeight="1">
      <c r="A18" s="69">
        <f>IF(B18="","",ROW()-5)</f>
        <v/>
      </c>
      <c r="B18" s="43" t="n">
        <v>45706</v>
      </c>
      <c r="C18" s="41" t="inlineStr">
        <is>
          <t>BTC</t>
        </is>
      </c>
      <c r="D18" s="41" t="inlineStr">
        <is>
          <t>Buy</t>
        </is>
      </c>
      <c r="E18" s="70" t="n">
        <v>0.004</v>
      </c>
      <c r="F18" s="71" t="n">
        <v>60298.65</v>
      </c>
      <c r="G18" s="72" t="n">
        <v>3</v>
      </c>
      <c r="H18" s="73" t="n"/>
      <c r="I18" s="74">
        <f>IF(OR(E18="",F18=""),"",E18*F18)</f>
        <v/>
      </c>
      <c r="J18" s="75">
        <f>IF(I18="","",IF(D18="Buy",I18+N(G18),IF(D18="Sell",I18-N(G18),IF(D18="Dividend",I18-N(G18),I18+N(G18)))))</f>
        <v/>
      </c>
      <c r="K18" s="76">
        <f>IF(B18="","",DATE(YEAR(B18),MONTH(B18),1))</f>
        <v/>
      </c>
      <c r="L18" s="77">
        <f>IF(B18="","",YEAR(B18))</f>
        <v/>
      </c>
    </row>
    <row r="19" ht="19" customHeight="1">
      <c r="A19" s="69">
        <f>IF(B19="","",ROW()-5)</f>
        <v/>
      </c>
      <c r="B19" s="43" t="n">
        <v>45719</v>
      </c>
      <c r="C19" s="41" t="inlineStr">
        <is>
          <t>WRLD</t>
        </is>
      </c>
      <c r="D19" s="41" t="inlineStr">
        <is>
          <t>Buy</t>
        </is>
      </c>
      <c r="E19" s="70" t="n">
        <v>2.5687</v>
      </c>
      <c r="F19" s="71" t="n">
        <v>97.33</v>
      </c>
      <c r="G19" s="72" t="n">
        <v>1</v>
      </c>
      <c r="H19" s="73" t="n"/>
      <c r="I19" s="74">
        <f>IF(OR(E19="",F19=""),"",E19*F19)</f>
        <v/>
      </c>
      <c r="J19" s="75">
        <f>IF(I19="","",IF(D19="Buy",I19+N(G19),IF(D19="Sell",I19-N(G19),IF(D19="Dividend",I19-N(G19),I19+N(G19)))))</f>
        <v/>
      </c>
      <c r="K19" s="76">
        <f>IF(B19="","",DATE(YEAR(B19),MONTH(B19),1))</f>
        <v/>
      </c>
      <c r="L19" s="77">
        <f>IF(B19="","",YEAR(B19))</f>
        <v/>
      </c>
    </row>
    <row r="20" ht="19" customHeight="1">
      <c r="A20" s="69">
        <f>IF(B20="","",ROW()-5)</f>
        <v/>
      </c>
      <c r="B20" s="43" t="n">
        <v>45719</v>
      </c>
      <c r="C20" s="41" t="inlineStr">
        <is>
          <t>USMK</t>
        </is>
      </c>
      <c r="D20" s="41" t="inlineStr">
        <is>
          <t>Buy</t>
        </is>
      </c>
      <c r="E20" s="70" t="n">
        <v>1.6435</v>
      </c>
      <c r="F20" s="71" t="n">
        <v>121.69</v>
      </c>
      <c r="G20" s="72" t="n">
        <v>1</v>
      </c>
      <c r="H20" s="73" t="n"/>
      <c r="I20" s="74">
        <f>IF(OR(E20="",F20=""),"",E20*F20)</f>
        <v/>
      </c>
      <c r="J20" s="75">
        <f>IF(I20="","",IF(D20="Buy",I20+N(G20),IF(D20="Sell",I20-N(G20),IF(D20="Dividend",I20-N(G20),I20+N(G20)))))</f>
        <v/>
      </c>
      <c r="K20" s="76">
        <f>IF(B20="","",DATE(YEAR(B20),MONTH(B20),1))</f>
        <v/>
      </c>
      <c r="L20" s="77">
        <f>IF(B20="","",YEAR(B20))</f>
        <v/>
      </c>
    </row>
    <row r="21" ht="19" customHeight="1">
      <c r="A21" s="69">
        <f>IF(B21="","",ROW()-5)</f>
        <v/>
      </c>
      <c r="B21" s="43" t="n">
        <v>45719</v>
      </c>
      <c r="C21" s="41" t="inlineStr">
        <is>
          <t>AGGB</t>
        </is>
      </c>
      <c r="D21" s="41" t="inlineStr">
        <is>
          <t>Buy</t>
        </is>
      </c>
      <c r="E21" s="70" t="n">
        <v>2.8391</v>
      </c>
      <c r="F21" s="71" t="n">
        <v>52.83</v>
      </c>
      <c r="G21" s="72" t="n">
        <v>1</v>
      </c>
      <c r="H21" s="73" t="n"/>
      <c r="I21" s="74">
        <f>IF(OR(E21="",F21=""),"",E21*F21)</f>
        <v/>
      </c>
      <c r="J21" s="75">
        <f>IF(I21="","",IF(D21="Buy",I21+N(G21),IF(D21="Sell",I21-N(G21),IF(D21="Dividend",I21-N(G21),I21+N(G21)))))</f>
        <v/>
      </c>
      <c r="K21" s="76">
        <f>IF(B21="","",DATE(YEAR(B21),MONTH(B21),1))</f>
        <v/>
      </c>
      <c r="L21" s="77">
        <f>IF(B21="","",YEAR(B21))</f>
        <v/>
      </c>
    </row>
    <row r="22" ht="19" customHeight="1">
      <c r="A22" s="69">
        <f>IF(B22="","",ROW()-5)</f>
        <v/>
      </c>
      <c r="B22" s="43" t="n">
        <v>45719</v>
      </c>
      <c r="C22" s="41" t="inlineStr">
        <is>
          <t>EMKT</t>
        </is>
      </c>
      <c r="D22" s="41" t="inlineStr">
        <is>
          <t>Buy</t>
        </is>
      </c>
      <c r="E22" s="70" t="n">
        <v>2.3935</v>
      </c>
      <c r="F22" s="71" t="n">
        <v>41.78</v>
      </c>
      <c r="G22" s="72" t="n">
        <v>1</v>
      </c>
      <c r="H22" s="73" t="n"/>
      <c r="I22" s="74">
        <f>IF(OR(E22="",F22=""),"",E22*F22)</f>
        <v/>
      </c>
      <c r="J22" s="75">
        <f>IF(I22="","",IF(D22="Buy",I22+N(G22),IF(D22="Sell",I22-N(G22),IF(D22="Dividend",I22-N(G22),I22+N(G22)))))</f>
        <v/>
      </c>
      <c r="K22" s="76">
        <f>IF(B22="","",DATE(YEAR(B22),MONTH(B22),1))</f>
        <v/>
      </c>
      <c r="L22" s="77">
        <f>IF(B22="","",YEAR(B22))</f>
        <v/>
      </c>
    </row>
    <row r="23" ht="19" customHeight="1">
      <c r="A23" s="69">
        <f>IF(B23="","",ROW()-5)</f>
        <v/>
      </c>
      <c r="B23" s="43" t="n">
        <v>45728</v>
      </c>
      <c r="C23" s="41" t="inlineStr">
        <is>
          <t>CONS</t>
        </is>
      </c>
      <c r="D23" s="41" t="inlineStr">
        <is>
          <t>Buy</t>
        </is>
      </c>
      <c r="E23" s="70" t="n">
        <v>6</v>
      </c>
      <c r="F23" s="71" t="n">
        <v>77.45</v>
      </c>
      <c r="G23" s="72" t="n">
        <v>1.5</v>
      </c>
      <c r="H23" s="73" t="n"/>
      <c r="I23" s="74">
        <f>IF(OR(E23="",F23=""),"",E23*F23)</f>
        <v/>
      </c>
      <c r="J23" s="75">
        <f>IF(I23="","",IF(D23="Buy",I23+N(G23),IF(D23="Sell",I23-N(G23),IF(D23="Dividend",I23-N(G23),I23+N(G23)))))</f>
        <v/>
      </c>
      <c r="K23" s="76">
        <f>IF(B23="","",DATE(YEAR(B23),MONTH(B23),1))</f>
        <v/>
      </c>
      <c r="L23" s="77">
        <f>IF(B23="","",YEAR(B23))</f>
        <v/>
      </c>
    </row>
    <row r="24" ht="19" customHeight="1">
      <c r="A24" s="69">
        <f>IF(B24="","",ROW()-5)</f>
        <v/>
      </c>
      <c r="B24" s="43" t="n">
        <v>45732</v>
      </c>
      <c r="C24" s="41" t="inlineStr">
        <is>
          <t>PROP</t>
        </is>
      </c>
      <c r="D24" s="41" t="inlineStr">
        <is>
          <t>Buy</t>
        </is>
      </c>
      <c r="E24" s="70" t="n">
        <v>14</v>
      </c>
      <c r="F24" s="71" t="n">
        <v>27.93</v>
      </c>
      <c r="G24" s="72" t="n">
        <v>1.5</v>
      </c>
      <c r="H24" s="73" t="n"/>
      <c r="I24" s="74">
        <f>IF(OR(E24="",F24=""),"",E24*F24)</f>
        <v/>
      </c>
      <c r="J24" s="75">
        <f>IF(I24="","",IF(D24="Buy",I24+N(G24),IF(D24="Sell",I24-N(G24),IF(D24="Dividend",I24-N(G24),I24+N(G24)))))</f>
        <v/>
      </c>
      <c r="K24" s="76">
        <f>IF(B24="","",DATE(YEAR(B24),MONTH(B24),1))</f>
        <v/>
      </c>
      <c r="L24" s="77">
        <f>IF(B24="","",YEAR(B24))</f>
        <v/>
      </c>
    </row>
    <row r="25" ht="19" customHeight="1">
      <c r="A25" s="69">
        <f>IF(B25="","",ROW()-5)</f>
        <v/>
      </c>
      <c r="B25" s="43" t="n">
        <v>45741</v>
      </c>
      <c r="C25" s="41" t="inlineStr">
        <is>
          <t>WRLD</t>
        </is>
      </c>
      <c r="D25" s="41" t="inlineStr">
        <is>
          <t>Dividend</t>
        </is>
      </c>
      <c r="E25" s="70" t="n">
        <v>8.0352</v>
      </c>
      <c r="F25" s="71" t="n">
        <v>0.43</v>
      </c>
      <c r="G25" s="72" t="n">
        <v>0</v>
      </c>
      <c r="H25" s="73" t="n"/>
      <c r="I25" s="74">
        <f>IF(OR(E25="",F25=""),"",E25*F25)</f>
        <v/>
      </c>
      <c r="J25" s="75">
        <f>IF(I25="","",IF(D25="Buy",I25+N(G25),IF(D25="Sell",I25-N(G25),IF(D25="Dividend",I25-N(G25),I25+N(G25)))))</f>
        <v/>
      </c>
      <c r="K25" s="76">
        <f>IF(B25="","",DATE(YEAR(B25),MONTH(B25),1))</f>
        <v/>
      </c>
      <c r="L25" s="77">
        <f>IF(B25="","",YEAR(B25))</f>
        <v/>
      </c>
    </row>
    <row r="26" ht="19" customHeight="1">
      <c r="A26" s="69">
        <f>IF(B26="","",ROW()-5)</f>
        <v/>
      </c>
      <c r="B26" s="43" t="n">
        <v>45741</v>
      </c>
      <c r="C26" s="41" t="inlineStr">
        <is>
          <t>USMK</t>
        </is>
      </c>
      <c r="D26" s="41" t="inlineStr">
        <is>
          <t>Dividend</t>
        </is>
      </c>
      <c r="E26" s="70" t="n">
        <v>5</v>
      </c>
      <c r="F26" s="71" t="n">
        <v>0.36</v>
      </c>
      <c r="G26" s="72" t="n">
        <v>0</v>
      </c>
      <c r="H26" s="73" t="n"/>
      <c r="I26" s="74">
        <f>IF(OR(E26="",F26=""),"",E26*F26)</f>
        <v/>
      </c>
      <c r="J26" s="75">
        <f>IF(I26="","",IF(D26="Buy",I26+N(G26),IF(D26="Sell",I26-N(G26),IF(D26="Dividend",I26-N(G26),I26+N(G26)))))</f>
        <v/>
      </c>
      <c r="K26" s="76">
        <f>IF(B26="","",DATE(YEAR(B26),MONTH(B26),1))</f>
        <v/>
      </c>
      <c r="L26" s="77">
        <f>IF(B26="","",YEAR(B26))</f>
        <v/>
      </c>
    </row>
    <row r="27" ht="19" customHeight="1">
      <c r="A27" s="69">
        <f>IF(B27="","",ROW()-5)</f>
        <v/>
      </c>
      <c r="B27" s="43" t="n">
        <v>45741</v>
      </c>
      <c r="C27" s="41" t="inlineStr">
        <is>
          <t>EMKT</t>
        </is>
      </c>
      <c r="D27" s="41" t="inlineStr">
        <is>
          <t>Dividend</t>
        </is>
      </c>
      <c r="E27" s="70" t="n">
        <v>7.2187</v>
      </c>
      <c r="F27" s="71" t="n">
        <v>0.3</v>
      </c>
      <c r="G27" s="72" t="n">
        <v>0</v>
      </c>
      <c r="H27" s="73" t="n"/>
      <c r="I27" s="74">
        <f>IF(OR(E27="",F27=""),"",E27*F27)</f>
        <v/>
      </c>
      <c r="J27" s="75">
        <f>IF(I27="","",IF(D27="Buy",I27+N(G27),IF(D27="Sell",I27-N(G27),IF(D27="Dividend",I27-N(G27),I27+N(G27)))))</f>
        <v/>
      </c>
      <c r="K27" s="76">
        <f>IF(B27="","",DATE(YEAR(B27),MONTH(B27),1))</f>
        <v/>
      </c>
      <c r="L27" s="77">
        <f>IF(B27="","",YEAR(B27))</f>
        <v/>
      </c>
    </row>
    <row r="28" ht="19" customHeight="1">
      <c r="A28" s="69">
        <f>IF(B28="","",ROW()-5)</f>
        <v/>
      </c>
      <c r="B28" s="43" t="n">
        <v>45741</v>
      </c>
      <c r="C28" s="41" t="inlineStr">
        <is>
          <t>AGGB</t>
        </is>
      </c>
      <c r="D28" s="41" t="inlineStr">
        <is>
          <t>Dividend</t>
        </is>
      </c>
      <c r="E28" s="70" t="n">
        <v>8.605499999999999</v>
      </c>
      <c r="F28" s="71" t="n">
        <v>0.48</v>
      </c>
      <c r="G28" s="72" t="n">
        <v>0</v>
      </c>
      <c r="H28" s="73" t="n"/>
      <c r="I28" s="74">
        <f>IF(OR(E28="",F28=""),"",E28*F28)</f>
        <v/>
      </c>
      <c r="J28" s="75">
        <f>IF(I28="","",IF(D28="Buy",I28+N(G28),IF(D28="Sell",I28-N(G28),IF(D28="Dividend",I28-N(G28),I28+N(G28)))))</f>
        <v/>
      </c>
      <c r="K28" s="76">
        <f>IF(B28="","",DATE(YEAR(B28),MONTH(B28),1))</f>
        <v/>
      </c>
      <c r="L28" s="77">
        <f>IF(B28="","",YEAR(B28))</f>
        <v/>
      </c>
    </row>
    <row r="29" ht="19" customHeight="1">
      <c r="A29" s="69">
        <f>IF(B29="","",ROW()-5)</f>
        <v/>
      </c>
      <c r="B29" s="43" t="n">
        <v>45741</v>
      </c>
      <c r="C29" s="41" t="inlineStr">
        <is>
          <t>TECH</t>
        </is>
      </c>
      <c r="D29" s="41" t="inlineStr">
        <is>
          <t>Dividend</t>
        </is>
      </c>
      <c r="E29" s="70" t="n">
        <v>4</v>
      </c>
      <c r="F29" s="71" t="n">
        <v>0.26</v>
      </c>
      <c r="G29" s="72" t="n">
        <v>0</v>
      </c>
      <c r="H29" s="73" t="n"/>
      <c r="I29" s="74">
        <f>IF(OR(E29="",F29=""),"",E29*F29)</f>
        <v/>
      </c>
      <c r="J29" s="75">
        <f>IF(I29="","",IF(D29="Buy",I29+N(G29),IF(D29="Sell",I29-N(G29),IF(D29="Dividend",I29-N(G29),I29+N(G29)))))</f>
        <v/>
      </c>
      <c r="K29" s="76">
        <f>IF(B29="","",DATE(YEAR(B29),MONTH(B29),1))</f>
        <v/>
      </c>
      <c r="L29" s="77">
        <f>IF(B29="","",YEAR(B29))</f>
        <v/>
      </c>
    </row>
    <row r="30" ht="19" customHeight="1">
      <c r="A30" s="69">
        <f>IF(B30="","",ROW()-5)</f>
        <v/>
      </c>
      <c r="B30" s="43" t="n">
        <v>45741</v>
      </c>
      <c r="C30" s="41" t="inlineStr">
        <is>
          <t>BANK</t>
        </is>
      </c>
      <c r="D30" s="41" t="inlineStr">
        <is>
          <t>Dividend</t>
        </is>
      </c>
      <c r="E30" s="70" t="n">
        <v>8</v>
      </c>
      <c r="F30" s="71" t="n">
        <v>0.6</v>
      </c>
      <c r="G30" s="72" t="n">
        <v>0</v>
      </c>
      <c r="H30" s="73" t="n"/>
      <c r="I30" s="74">
        <f>IF(OR(E30="",F30=""),"",E30*F30)</f>
        <v/>
      </c>
      <c r="J30" s="75">
        <f>IF(I30="","",IF(D30="Buy",I30+N(G30),IF(D30="Sell",I30-N(G30),IF(D30="Dividend",I30-N(G30),I30+N(G30)))))</f>
        <v/>
      </c>
      <c r="K30" s="76">
        <f>IF(B30="","",DATE(YEAR(B30),MONTH(B30),1))</f>
        <v/>
      </c>
      <c r="L30" s="77">
        <f>IF(B30="","",YEAR(B30))</f>
        <v/>
      </c>
    </row>
    <row r="31" ht="19" customHeight="1">
      <c r="A31" s="69">
        <f>IF(B31="","",ROW()-5)</f>
        <v/>
      </c>
      <c r="B31" s="43" t="n">
        <v>45741</v>
      </c>
      <c r="C31" s="41" t="inlineStr">
        <is>
          <t>HLTH</t>
        </is>
      </c>
      <c r="D31" s="41" t="inlineStr">
        <is>
          <t>Dividend</t>
        </is>
      </c>
      <c r="E31" s="70" t="n">
        <v>6</v>
      </c>
      <c r="F31" s="71" t="n">
        <v>0.82</v>
      </c>
      <c r="G31" s="72" t="n">
        <v>0</v>
      </c>
      <c r="H31" s="73" t="n"/>
      <c r="I31" s="74">
        <f>IF(OR(E31="",F31=""),"",E31*F31)</f>
        <v/>
      </c>
      <c r="J31" s="75">
        <f>IF(I31="","",IF(D31="Buy",I31+N(G31),IF(D31="Sell",I31-N(G31),IF(D31="Dividend",I31-N(G31),I31+N(G31)))))</f>
        <v/>
      </c>
      <c r="K31" s="76">
        <f>IF(B31="","",DATE(YEAR(B31),MONTH(B31),1))</f>
        <v/>
      </c>
      <c r="L31" s="77">
        <f>IF(B31="","",YEAR(B31))</f>
        <v/>
      </c>
    </row>
    <row r="32" ht="19" customHeight="1">
      <c r="A32" s="69">
        <f>IF(B32="","",ROW()-5)</f>
        <v/>
      </c>
      <c r="B32" s="43" t="n">
        <v>45741</v>
      </c>
      <c r="C32" s="41" t="inlineStr">
        <is>
          <t>ENRG</t>
        </is>
      </c>
      <c r="D32" s="41" t="inlineStr">
        <is>
          <t>Dividend</t>
        </is>
      </c>
      <c r="E32" s="70" t="n">
        <v>10</v>
      </c>
      <c r="F32" s="71" t="n">
        <v>0.38</v>
      </c>
      <c r="G32" s="72" t="n">
        <v>0</v>
      </c>
      <c r="H32" s="73" t="n"/>
      <c r="I32" s="74">
        <f>IF(OR(E32="",F32=""),"",E32*F32)</f>
        <v/>
      </c>
      <c r="J32" s="75">
        <f>IF(I32="","",IF(D32="Buy",I32+N(G32),IF(D32="Sell",I32-N(G32),IF(D32="Dividend",I32-N(G32),I32+N(G32)))))</f>
        <v/>
      </c>
      <c r="K32" s="76">
        <f>IF(B32="","",DATE(YEAR(B32),MONTH(B32),1))</f>
        <v/>
      </c>
      <c r="L32" s="77">
        <f>IF(B32="","",YEAR(B32))</f>
        <v/>
      </c>
    </row>
    <row r="33" ht="19" customHeight="1">
      <c r="A33" s="69">
        <f>IF(B33="","",ROW()-5)</f>
        <v/>
      </c>
      <c r="B33" s="43" t="n">
        <v>45741</v>
      </c>
      <c r="C33" s="41" t="inlineStr">
        <is>
          <t>CONS</t>
        </is>
      </c>
      <c r="D33" s="41" t="inlineStr">
        <is>
          <t>Dividend</t>
        </is>
      </c>
      <c r="E33" s="70" t="n">
        <v>6</v>
      </c>
      <c r="F33" s="71" t="n">
        <v>0.58</v>
      </c>
      <c r="G33" s="72" t="n">
        <v>0</v>
      </c>
      <c r="H33" s="73" t="n"/>
      <c r="I33" s="74">
        <f>IF(OR(E33="",F33=""),"",E33*F33)</f>
        <v/>
      </c>
      <c r="J33" s="75">
        <f>IF(I33="","",IF(D33="Buy",I33+N(G33),IF(D33="Sell",I33-N(G33),IF(D33="Dividend",I33-N(G33),I33+N(G33)))))</f>
        <v/>
      </c>
      <c r="K33" s="76">
        <f>IF(B33="","",DATE(YEAR(B33),MONTH(B33),1))</f>
        <v/>
      </c>
      <c r="L33" s="77">
        <f>IF(B33="","",YEAR(B33))</f>
        <v/>
      </c>
    </row>
    <row r="34" ht="19" customHeight="1">
      <c r="A34" s="69">
        <f>IF(B34="","",ROW()-5)</f>
        <v/>
      </c>
      <c r="B34" s="43" t="n">
        <v>45741</v>
      </c>
      <c r="C34" s="41" t="inlineStr">
        <is>
          <t>PROP</t>
        </is>
      </c>
      <c r="D34" s="41" t="inlineStr">
        <is>
          <t>Dividend</t>
        </is>
      </c>
      <c r="E34" s="70" t="n">
        <v>14</v>
      </c>
      <c r="F34" s="71" t="n">
        <v>0.41</v>
      </c>
      <c r="G34" s="72" t="n">
        <v>0</v>
      </c>
      <c r="H34" s="73" t="n"/>
      <c r="I34" s="74">
        <f>IF(OR(E34="",F34=""),"",E34*F34)</f>
        <v/>
      </c>
      <c r="J34" s="75">
        <f>IF(I34="","",IF(D34="Buy",I34+N(G34),IF(D34="Sell",I34-N(G34),IF(D34="Dividend",I34-N(G34),I34+N(G34)))))</f>
        <v/>
      </c>
      <c r="K34" s="76">
        <f>IF(B34="","",DATE(YEAR(B34),MONTH(B34),1))</f>
        <v/>
      </c>
      <c r="L34" s="77">
        <f>IF(B34="","",YEAR(B34))</f>
        <v/>
      </c>
    </row>
    <row r="35" ht="19" customHeight="1">
      <c r="A35" s="69">
        <f>IF(B35="","",ROW()-5)</f>
        <v/>
      </c>
      <c r="B35" s="43" t="n">
        <v>45750</v>
      </c>
      <c r="C35" s="41" t="inlineStr">
        <is>
          <t>WRLD</t>
        </is>
      </c>
      <c r="D35" s="41" t="inlineStr">
        <is>
          <t>Buy</t>
        </is>
      </c>
      <c r="E35" s="70" t="n">
        <v>2.6134</v>
      </c>
      <c r="F35" s="71" t="n">
        <v>95.66</v>
      </c>
      <c r="G35" s="72" t="n">
        <v>1</v>
      </c>
      <c r="H35" s="73" t="n"/>
      <c r="I35" s="74">
        <f>IF(OR(E35="",F35=""),"",E35*F35)</f>
        <v/>
      </c>
      <c r="J35" s="75">
        <f>IF(I35="","",IF(D35="Buy",I35+N(G35),IF(D35="Sell",I35-N(G35),IF(D35="Dividend",I35-N(G35),I35+N(G35)))))</f>
        <v/>
      </c>
      <c r="K35" s="76">
        <f>IF(B35="","",DATE(YEAR(B35),MONTH(B35),1))</f>
        <v/>
      </c>
      <c r="L35" s="77">
        <f>IF(B35="","",YEAR(B35))</f>
        <v/>
      </c>
    </row>
    <row r="36" ht="19" customHeight="1">
      <c r="A36" s="69">
        <f>IF(B36="","",ROW()-5)</f>
        <v/>
      </c>
      <c r="B36" s="43" t="n">
        <v>45750</v>
      </c>
      <c r="C36" s="41" t="inlineStr">
        <is>
          <t>USMK</t>
        </is>
      </c>
      <c r="D36" s="41" t="inlineStr">
        <is>
          <t>Buy</t>
        </is>
      </c>
      <c r="E36" s="70" t="n">
        <v>1.5825</v>
      </c>
      <c r="F36" s="71" t="n">
        <v>126.38</v>
      </c>
      <c r="G36" s="72" t="n">
        <v>1</v>
      </c>
      <c r="H36" s="73" t="n"/>
      <c r="I36" s="74">
        <f>IF(OR(E36="",F36=""),"",E36*F36)</f>
        <v/>
      </c>
      <c r="J36" s="75">
        <f>IF(I36="","",IF(D36="Buy",I36+N(G36),IF(D36="Sell",I36-N(G36),IF(D36="Dividend",I36-N(G36),I36+N(G36)))))</f>
        <v/>
      </c>
      <c r="K36" s="76">
        <f>IF(B36="","",DATE(YEAR(B36),MONTH(B36),1))</f>
        <v/>
      </c>
      <c r="L36" s="77">
        <f>IF(B36="","",YEAR(B36))</f>
        <v/>
      </c>
    </row>
    <row r="37" ht="19" customHeight="1">
      <c r="A37" s="69">
        <f>IF(B37="","",ROW()-5)</f>
        <v/>
      </c>
      <c r="B37" s="43" t="n">
        <v>45750</v>
      </c>
      <c r="C37" s="41" t="inlineStr">
        <is>
          <t>AGGB</t>
        </is>
      </c>
      <c r="D37" s="41" t="inlineStr">
        <is>
          <t>Buy</t>
        </is>
      </c>
      <c r="E37" s="70" t="n">
        <v>2.9118</v>
      </c>
      <c r="F37" s="71" t="n">
        <v>51.52</v>
      </c>
      <c r="G37" s="72" t="n">
        <v>1</v>
      </c>
      <c r="H37" s="73" t="n"/>
      <c r="I37" s="74">
        <f>IF(OR(E37="",F37=""),"",E37*F37)</f>
        <v/>
      </c>
      <c r="J37" s="75">
        <f>IF(I37="","",IF(D37="Buy",I37+N(G37),IF(D37="Sell",I37-N(G37),IF(D37="Dividend",I37-N(G37),I37+N(G37)))))</f>
        <v/>
      </c>
      <c r="K37" s="76">
        <f>IF(B37="","",DATE(YEAR(B37),MONTH(B37),1))</f>
        <v/>
      </c>
      <c r="L37" s="77">
        <f>IF(B37="","",YEAR(B37))</f>
        <v/>
      </c>
    </row>
    <row r="38" ht="19" customHeight="1">
      <c r="A38" s="69">
        <f>IF(B38="","",ROW()-5)</f>
        <v/>
      </c>
      <c r="B38" s="43" t="n">
        <v>45750</v>
      </c>
      <c r="C38" s="41" t="inlineStr">
        <is>
          <t>EMKT</t>
        </is>
      </c>
      <c r="D38" s="41" t="inlineStr">
        <is>
          <t>Buy</t>
        </is>
      </c>
      <c r="E38" s="70" t="n">
        <v>2.4743</v>
      </c>
      <c r="F38" s="71" t="n">
        <v>40.42</v>
      </c>
      <c r="G38" s="72" t="n">
        <v>1</v>
      </c>
      <c r="H38" s="73" t="n"/>
      <c r="I38" s="74">
        <f>IF(OR(E38="",F38=""),"",E38*F38)</f>
        <v/>
      </c>
      <c r="J38" s="75">
        <f>IF(I38="","",IF(D38="Buy",I38+N(G38),IF(D38="Sell",I38-N(G38),IF(D38="Dividend",I38-N(G38),I38+N(G38)))))</f>
        <v/>
      </c>
      <c r="K38" s="76">
        <f>IF(B38="","",DATE(YEAR(B38),MONTH(B38),1))</f>
        <v/>
      </c>
      <c r="L38" s="77">
        <f>IF(B38="","",YEAR(B38))</f>
        <v/>
      </c>
    </row>
    <row r="39" ht="19" customHeight="1">
      <c r="A39" s="69">
        <f>IF(B39="","",ROW()-5)</f>
        <v/>
      </c>
      <c r="B39" s="43" t="n">
        <v>45759</v>
      </c>
      <c r="C39" s="41" t="inlineStr">
        <is>
          <t>GLDX</t>
        </is>
      </c>
      <c r="D39" s="41" t="inlineStr">
        <is>
          <t>Buy</t>
        </is>
      </c>
      <c r="E39" s="70" t="n">
        <v>4</v>
      </c>
      <c r="F39" s="71" t="n">
        <v>192.88</v>
      </c>
      <c r="G39" s="72" t="n">
        <v>1.5</v>
      </c>
      <c r="H39" s="73" t="n"/>
      <c r="I39" s="74">
        <f>IF(OR(E39="",F39=""),"",E39*F39)</f>
        <v/>
      </c>
      <c r="J39" s="75">
        <f>IF(I39="","",IF(D39="Buy",I39+N(G39),IF(D39="Sell",I39-N(G39),IF(D39="Dividend",I39-N(G39),I39+N(G39)))))</f>
        <v/>
      </c>
      <c r="K39" s="76">
        <f>IF(B39="","",DATE(YEAR(B39),MONTH(B39),1))</f>
        <v/>
      </c>
      <c r="L39" s="77">
        <f>IF(B39="","",YEAR(B39))</f>
        <v/>
      </c>
    </row>
    <row r="40" ht="19" customHeight="1">
      <c r="A40" s="69">
        <f>IF(B40="","",ROW()-5)</f>
        <v/>
      </c>
      <c r="B40" s="43" t="n">
        <v>45763</v>
      </c>
      <c r="C40" s="41" t="inlineStr">
        <is>
          <t>TECH</t>
        </is>
      </c>
      <c r="D40" s="41" t="inlineStr">
        <is>
          <t>Buy</t>
        </is>
      </c>
      <c r="E40" s="70" t="n">
        <v>3</v>
      </c>
      <c r="F40" s="71" t="n">
        <v>275.43</v>
      </c>
      <c r="G40" s="72" t="n">
        <v>1.5</v>
      </c>
      <c r="H40" s="73" t="n"/>
      <c r="I40" s="74">
        <f>IF(OR(E40="",F40=""),"",E40*F40)</f>
        <v/>
      </c>
      <c r="J40" s="75">
        <f>IF(I40="","",IF(D40="Buy",I40+N(G40),IF(D40="Sell",I40-N(G40),IF(D40="Dividend",I40-N(G40),I40+N(G40)))))</f>
        <v/>
      </c>
      <c r="K40" s="76">
        <f>IF(B40="","",DATE(YEAR(B40),MONTH(B40),1))</f>
        <v/>
      </c>
      <c r="L40" s="77">
        <f>IF(B40="","",YEAR(B40))</f>
        <v/>
      </c>
    </row>
    <row r="41" ht="19" customHeight="1">
      <c r="A41" s="69">
        <f>IF(B41="","",ROW()-5)</f>
        <v/>
      </c>
      <c r="B41" s="43" t="n">
        <v>45780</v>
      </c>
      <c r="C41" s="41" t="inlineStr">
        <is>
          <t>WRLD</t>
        </is>
      </c>
      <c r="D41" s="41" t="inlineStr">
        <is>
          <t>Buy</t>
        </is>
      </c>
      <c r="E41" s="70" t="n">
        <v>2.7584</v>
      </c>
      <c r="F41" s="71" t="n">
        <v>90.63</v>
      </c>
      <c r="G41" s="72" t="n">
        <v>1</v>
      </c>
      <c r="H41" s="73" t="n"/>
      <c r="I41" s="74">
        <f>IF(OR(E41="",F41=""),"",E41*F41)</f>
        <v/>
      </c>
      <c r="J41" s="75">
        <f>IF(I41="","",IF(D41="Buy",I41+N(G41),IF(D41="Sell",I41-N(G41),IF(D41="Dividend",I41-N(G41),I41+N(G41)))))</f>
        <v/>
      </c>
      <c r="K41" s="76">
        <f>IF(B41="","",DATE(YEAR(B41),MONTH(B41),1))</f>
        <v/>
      </c>
      <c r="L41" s="77">
        <f>IF(B41="","",YEAR(B41))</f>
        <v/>
      </c>
    </row>
    <row r="42" ht="19" customHeight="1">
      <c r="A42" s="69">
        <f>IF(B42="","",ROW()-5)</f>
        <v/>
      </c>
      <c r="B42" s="43" t="n">
        <v>45780</v>
      </c>
      <c r="C42" s="41" t="inlineStr">
        <is>
          <t>USMK</t>
        </is>
      </c>
      <c r="D42" s="41" t="inlineStr">
        <is>
          <t>Buy</t>
        </is>
      </c>
      <c r="E42" s="70" t="n">
        <v>1.4963</v>
      </c>
      <c r="F42" s="71" t="n">
        <v>133.66</v>
      </c>
      <c r="G42" s="72" t="n">
        <v>1</v>
      </c>
      <c r="H42" s="73" t="n"/>
      <c r="I42" s="74">
        <f>IF(OR(E42="",F42=""),"",E42*F42)</f>
        <v/>
      </c>
      <c r="J42" s="75">
        <f>IF(I42="","",IF(D42="Buy",I42+N(G42),IF(D42="Sell",I42-N(G42),IF(D42="Dividend",I42-N(G42),I42+N(G42)))))</f>
        <v/>
      </c>
      <c r="K42" s="76">
        <f>IF(B42="","",DATE(YEAR(B42),MONTH(B42),1))</f>
        <v/>
      </c>
      <c r="L42" s="77">
        <f>IF(B42="","",YEAR(B42))</f>
        <v/>
      </c>
    </row>
    <row r="43" ht="19" customHeight="1">
      <c r="A43" s="69">
        <f>IF(B43="","",ROW()-5)</f>
        <v/>
      </c>
      <c r="B43" s="43" t="n">
        <v>45780</v>
      </c>
      <c r="C43" s="41" t="inlineStr">
        <is>
          <t>AGGB</t>
        </is>
      </c>
      <c r="D43" s="41" t="inlineStr">
        <is>
          <t>Buy</t>
        </is>
      </c>
      <c r="E43" s="70" t="n">
        <v>3.0427</v>
      </c>
      <c r="F43" s="71" t="n">
        <v>49.3</v>
      </c>
      <c r="G43" s="72" t="n">
        <v>1</v>
      </c>
      <c r="H43" s="73" t="n"/>
      <c r="I43" s="74">
        <f>IF(OR(E43="",F43=""),"",E43*F43)</f>
        <v/>
      </c>
      <c r="J43" s="75">
        <f>IF(I43="","",IF(D43="Buy",I43+N(G43),IF(D43="Sell",I43-N(G43),IF(D43="Dividend",I43-N(G43),I43+N(G43)))))</f>
        <v/>
      </c>
      <c r="K43" s="76">
        <f>IF(B43="","",DATE(YEAR(B43),MONTH(B43),1))</f>
        <v/>
      </c>
      <c r="L43" s="77">
        <f>IF(B43="","",YEAR(B43))</f>
        <v/>
      </c>
    </row>
    <row r="44" ht="19" customHeight="1">
      <c r="A44" s="69">
        <f>IF(B44="","",ROW()-5)</f>
        <v/>
      </c>
      <c r="B44" s="43" t="n">
        <v>45780</v>
      </c>
      <c r="C44" s="41" t="inlineStr">
        <is>
          <t>EMKT</t>
        </is>
      </c>
      <c r="D44" s="41" t="inlineStr">
        <is>
          <t>Buy</t>
        </is>
      </c>
      <c r="E44" s="70" t="n">
        <v>2.2669</v>
      </c>
      <c r="F44" s="71" t="n">
        <v>44.11</v>
      </c>
      <c r="G44" s="72" t="n">
        <v>1</v>
      </c>
      <c r="H44" s="73" t="n"/>
      <c r="I44" s="74">
        <f>IF(OR(E44="",F44=""),"",E44*F44)</f>
        <v/>
      </c>
      <c r="J44" s="75">
        <f>IF(I44="","",IF(D44="Buy",I44+N(G44),IF(D44="Sell",I44-N(G44),IF(D44="Dividend",I44-N(G44),I44+N(G44)))))</f>
        <v/>
      </c>
      <c r="K44" s="76">
        <f>IF(B44="","",DATE(YEAR(B44),MONTH(B44),1))</f>
        <v/>
      </c>
      <c r="L44" s="77">
        <f>IF(B44="","",YEAR(B44))</f>
        <v/>
      </c>
    </row>
    <row r="45" ht="19" customHeight="1">
      <c r="A45" s="69">
        <f>IF(B45="","",ROW()-5)</f>
        <v/>
      </c>
      <c r="B45" s="43" t="n">
        <v>45789</v>
      </c>
      <c r="C45" s="41" t="inlineStr">
        <is>
          <t>BANK</t>
        </is>
      </c>
      <c r="D45" s="41" t="inlineStr">
        <is>
          <t>Buy</t>
        </is>
      </c>
      <c r="E45" s="70" t="n">
        <v>14</v>
      </c>
      <c r="F45" s="71" t="n">
        <v>56.67</v>
      </c>
      <c r="G45" s="72" t="n">
        <v>1.5</v>
      </c>
      <c r="H45" s="73" t="n"/>
      <c r="I45" s="74">
        <f>IF(OR(E45="",F45=""),"",E45*F45)</f>
        <v/>
      </c>
      <c r="J45" s="75">
        <f>IF(I45="","",IF(D45="Buy",I45+N(G45),IF(D45="Sell",I45-N(G45),IF(D45="Dividend",I45-N(G45),I45+N(G45)))))</f>
        <v/>
      </c>
      <c r="K45" s="76">
        <f>IF(B45="","",DATE(YEAR(B45),MONTH(B45),1))</f>
        <v/>
      </c>
      <c r="L45" s="77">
        <f>IF(B45="","",YEAR(B45))</f>
        <v/>
      </c>
    </row>
    <row r="46" ht="19" customHeight="1">
      <c r="A46" s="69">
        <f>IF(B46="","",ROW()-5)</f>
        <v/>
      </c>
      <c r="B46" s="43" t="n">
        <v>45793</v>
      </c>
      <c r="C46" s="41" t="inlineStr">
        <is>
          <t>HLTH</t>
        </is>
      </c>
      <c r="D46" s="41" t="inlineStr">
        <is>
          <t>Buy</t>
        </is>
      </c>
      <c r="E46" s="70" t="n">
        <v>6</v>
      </c>
      <c r="F46" s="71" t="n">
        <v>119.05</v>
      </c>
      <c r="G46" s="72" t="n">
        <v>1.5</v>
      </c>
      <c r="H46" s="73" t="n"/>
      <c r="I46" s="74">
        <f>IF(OR(E46="",F46=""),"",E46*F46)</f>
        <v/>
      </c>
      <c r="J46" s="75">
        <f>IF(I46="","",IF(D46="Buy",I46+N(G46),IF(D46="Sell",I46-N(G46),IF(D46="Dividend",I46-N(G46),I46+N(G46)))))</f>
        <v/>
      </c>
      <c r="K46" s="76">
        <f>IF(B46="","",DATE(YEAR(B46),MONTH(B46),1))</f>
        <v/>
      </c>
      <c r="L46" s="77">
        <f>IF(B46="","",YEAR(B46))</f>
        <v/>
      </c>
    </row>
    <row r="47" ht="19" customHeight="1">
      <c r="A47" s="69">
        <f>IF(B47="","",ROW()-5)</f>
        <v/>
      </c>
      <c r="B47" s="43" t="n">
        <v>45795</v>
      </c>
      <c r="C47" s="41" t="inlineStr">
        <is>
          <t>BTC</t>
        </is>
      </c>
      <c r="D47" s="41" t="inlineStr">
        <is>
          <t>Buy</t>
        </is>
      </c>
      <c r="E47" s="70" t="n">
        <v>0.004</v>
      </c>
      <c r="F47" s="71" t="n">
        <v>60252.39</v>
      </c>
      <c r="G47" s="72" t="n">
        <v>3</v>
      </c>
      <c r="H47" s="73" t="n"/>
      <c r="I47" s="74">
        <f>IF(OR(E47="",F47=""),"",E47*F47)</f>
        <v/>
      </c>
      <c r="J47" s="75">
        <f>IF(I47="","",IF(D47="Buy",I47+N(G47),IF(D47="Sell",I47-N(G47),IF(D47="Dividend",I47-N(G47),I47+N(G47)))))</f>
        <v/>
      </c>
      <c r="K47" s="76">
        <f>IF(B47="","",DATE(YEAR(B47),MONTH(B47),1))</f>
        <v/>
      </c>
      <c r="L47" s="77">
        <f>IF(B47="","",YEAR(B47))</f>
        <v/>
      </c>
    </row>
    <row r="48" ht="19" customHeight="1">
      <c r="A48" s="69">
        <f>IF(B48="","",ROW()-5)</f>
        <v/>
      </c>
      <c r="B48" s="43" t="n">
        <v>45811</v>
      </c>
      <c r="C48" s="41" t="inlineStr">
        <is>
          <t>WRLD</t>
        </is>
      </c>
      <c r="D48" s="41" t="inlineStr">
        <is>
          <t>Buy</t>
        </is>
      </c>
      <c r="E48" s="70" t="n">
        <v>2.7504</v>
      </c>
      <c r="F48" s="71" t="n">
        <v>90.90000000000001</v>
      </c>
      <c r="G48" s="72" t="n">
        <v>1</v>
      </c>
      <c r="H48" s="73" t="n"/>
      <c r="I48" s="74">
        <f>IF(OR(E48="",F48=""),"",E48*F48)</f>
        <v/>
      </c>
      <c r="J48" s="75">
        <f>IF(I48="","",IF(D48="Buy",I48+N(G48),IF(D48="Sell",I48-N(G48),IF(D48="Dividend",I48-N(G48),I48+N(G48)))))</f>
        <v/>
      </c>
      <c r="K48" s="76">
        <f>IF(B48="","",DATE(YEAR(B48),MONTH(B48),1))</f>
        <v/>
      </c>
      <c r="L48" s="77">
        <f>IF(B48="","",YEAR(B48))</f>
        <v/>
      </c>
    </row>
    <row r="49" ht="19" customHeight="1">
      <c r="A49" s="69">
        <f>IF(B49="","",ROW()-5)</f>
        <v/>
      </c>
      <c r="B49" s="43" t="n">
        <v>45811</v>
      </c>
      <c r="C49" s="41" t="inlineStr">
        <is>
          <t>USMK</t>
        </is>
      </c>
      <c r="D49" s="41" t="inlineStr">
        <is>
          <t>Buy</t>
        </is>
      </c>
      <c r="E49" s="70" t="n">
        <v>1.4724</v>
      </c>
      <c r="F49" s="71" t="n">
        <v>135.83</v>
      </c>
      <c r="G49" s="72" t="n">
        <v>1</v>
      </c>
      <c r="H49" s="73" t="n"/>
      <c r="I49" s="74">
        <f>IF(OR(E49="",F49=""),"",E49*F49)</f>
        <v/>
      </c>
      <c r="J49" s="75">
        <f>IF(I49="","",IF(D49="Buy",I49+N(G49),IF(D49="Sell",I49-N(G49),IF(D49="Dividend",I49-N(G49),I49+N(G49)))))</f>
        <v/>
      </c>
      <c r="K49" s="76">
        <f>IF(B49="","",DATE(YEAR(B49),MONTH(B49),1))</f>
        <v/>
      </c>
      <c r="L49" s="77">
        <f>IF(B49="","",YEAR(B49))</f>
        <v/>
      </c>
    </row>
    <row r="50" ht="19" customHeight="1">
      <c r="A50" s="69">
        <f>IF(B50="","",ROW()-5)</f>
        <v/>
      </c>
      <c r="B50" s="43" t="n">
        <v>45811</v>
      </c>
      <c r="C50" s="41" t="inlineStr">
        <is>
          <t>AGGB</t>
        </is>
      </c>
      <c r="D50" s="41" t="inlineStr">
        <is>
          <t>Buy</t>
        </is>
      </c>
      <c r="E50" s="70" t="n">
        <v>3.0923</v>
      </c>
      <c r="F50" s="71" t="n">
        <v>48.51</v>
      </c>
      <c r="G50" s="72" t="n">
        <v>1</v>
      </c>
      <c r="H50" s="73" t="n"/>
      <c r="I50" s="74">
        <f>IF(OR(E50="",F50=""),"",E50*F50)</f>
        <v/>
      </c>
      <c r="J50" s="75">
        <f>IF(I50="","",IF(D50="Buy",I50+N(G50),IF(D50="Sell",I50-N(G50),IF(D50="Dividend",I50-N(G50),I50+N(G50)))))</f>
        <v/>
      </c>
      <c r="K50" s="76">
        <f>IF(B50="","",DATE(YEAR(B50),MONTH(B50),1))</f>
        <v/>
      </c>
      <c r="L50" s="77">
        <f>IF(B50="","",YEAR(B50))</f>
        <v/>
      </c>
    </row>
    <row r="51" ht="19" customHeight="1">
      <c r="A51" s="69">
        <f>IF(B51="","",ROW()-5)</f>
        <v/>
      </c>
      <c r="B51" s="43" t="n">
        <v>45811</v>
      </c>
      <c r="C51" s="41" t="inlineStr">
        <is>
          <t>EMKT</t>
        </is>
      </c>
      <c r="D51" s="41" t="inlineStr">
        <is>
          <t>Buy</t>
        </is>
      </c>
      <c r="E51" s="70" t="n">
        <v>2.3113</v>
      </c>
      <c r="F51" s="71" t="n">
        <v>43.27</v>
      </c>
      <c r="G51" s="72" t="n">
        <v>1</v>
      </c>
      <c r="H51" s="73" t="n"/>
      <c r="I51" s="74">
        <f>IF(OR(E51="",F51=""),"",E51*F51)</f>
        <v/>
      </c>
      <c r="J51" s="75">
        <f>IF(I51="","",IF(D51="Buy",I51+N(G51),IF(D51="Sell",I51-N(G51),IF(D51="Dividend",I51-N(G51),I51+N(G51)))))</f>
        <v/>
      </c>
      <c r="K51" s="76">
        <f>IF(B51="","",DATE(YEAR(B51),MONTH(B51),1))</f>
        <v/>
      </c>
      <c r="L51" s="77">
        <f>IF(B51="","",YEAR(B51))</f>
        <v/>
      </c>
    </row>
    <row r="52" ht="19" customHeight="1">
      <c r="A52" s="69">
        <f>IF(B52="","",ROW()-5)</f>
        <v/>
      </c>
      <c r="B52" s="43" t="n">
        <v>45820</v>
      </c>
      <c r="C52" s="41" t="inlineStr">
        <is>
          <t>ENRG</t>
        </is>
      </c>
      <c r="D52" s="41" t="inlineStr">
        <is>
          <t>Buy</t>
        </is>
      </c>
      <c r="E52" s="70" t="n">
        <v>14</v>
      </c>
      <c r="F52" s="71" t="n">
        <v>38.81</v>
      </c>
      <c r="G52" s="72" t="n">
        <v>1.5</v>
      </c>
      <c r="H52" s="73" t="n"/>
      <c r="I52" s="74">
        <f>IF(OR(E52="",F52=""),"",E52*F52)</f>
        <v/>
      </c>
      <c r="J52" s="75">
        <f>IF(I52="","",IF(D52="Buy",I52+N(G52),IF(D52="Sell",I52-N(G52),IF(D52="Dividend",I52-N(G52),I52+N(G52)))))</f>
        <v/>
      </c>
      <c r="K52" s="76">
        <f>IF(B52="","",DATE(YEAR(B52),MONTH(B52),1))</f>
        <v/>
      </c>
      <c r="L52" s="77">
        <f>IF(B52="","",YEAR(B52))</f>
        <v/>
      </c>
    </row>
    <row r="53" ht="19" customHeight="1">
      <c r="A53" s="69">
        <f>IF(B53="","",ROW()-5)</f>
        <v/>
      </c>
      <c r="B53" s="43" t="n">
        <v>45824</v>
      </c>
      <c r="C53" s="41" t="inlineStr">
        <is>
          <t>CONS</t>
        </is>
      </c>
      <c r="D53" s="41" t="inlineStr">
        <is>
          <t>Buy</t>
        </is>
      </c>
      <c r="E53" s="70" t="n">
        <v>14</v>
      </c>
      <c r="F53" s="71" t="n">
        <v>70.3</v>
      </c>
      <c r="G53" s="72" t="n">
        <v>1.5</v>
      </c>
      <c r="H53" s="73" t="n"/>
      <c r="I53" s="74">
        <f>IF(OR(E53="",F53=""),"",E53*F53)</f>
        <v/>
      </c>
      <c r="J53" s="75">
        <f>IF(I53="","",IF(D53="Buy",I53+N(G53),IF(D53="Sell",I53-N(G53),IF(D53="Dividend",I53-N(G53),I53+N(G53)))))</f>
        <v/>
      </c>
      <c r="K53" s="76">
        <f>IF(B53="","",DATE(YEAR(B53),MONTH(B53),1))</f>
        <v/>
      </c>
      <c r="L53" s="77">
        <f>IF(B53="","",YEAR(B53))</f>
        <v/>
      </c>
    </row>
    <row r="54" ht="19" customHeight="1">
      <c r="A54" s="69">
        <f>IF(B54="","",ROW()-5)</f>
        <v/>
      </c>
      <c r="B54" s="43" t="n">
        <v>45833</v>
      </c>
      <c r="C54" s="41" t="inlineStr">
        <is>
          <t>WRLD</t>
        </is>
      </c>
      <c r="D54" s="41" t="inlineStr">
        <is>
          <t>Dividend</t>
        </is>
      </c>
      <c r="E54" s="70" t="n">
        <v>16.1574</v>
      </c>
      <c r="F54" s="71" t="n">
        <v>0.41</v>
      </c>
      <c r="G54" s="72" t="n">
        <v>0</v>
      </c>
      <c r="H54" s="73" t="n"/>
      <c r="I54" s="74">
        <f>IF(OR(E54="",F54=""),"",E54*F54)</f>
        <v/>
      </c>
      <c r="J54" s="75">
        <f>IF(I54="","",IF(D54="Buy",I54+N(G54),IF(D54="Sell",I54-N(G54),IF(D54="Dividend",I54-N(G54),I54+N(G54)))))</f>
        <v/>
      </c>
      <c r="K54" s="76">
        <f>IF(B54="","",DATE(YEAR(B54),MONTH(B54),1))</f>
        <v/>
      </c>
      <c r="L54" s="77">
        <f>IF(B54="","",YEAR(B54))</f>
        <v/>
      </c>
    </row>
    <row r="55" ht="19" customHeight="1">
      <c r="A55" s="69">
        <f>IF(B55="","",ROW()-5)</f>
        <v/>
      </c>
      <c r="B55" s="43" t="n">
        <v>45833</v>
      </c>
      <c r="C55" s="41" t="inlineStr">
        <is>
          <t>USMK</t>
        </is>
      </c>
      <c r="D55" s="41" t="inlineStr">
        <is>
          <t>Dividend</t>
        </is>
      </c>
      <c r="E55" s="70" t="n">
        <v>9.551299999999999</v>
      </c>
      <c r="F55" s="71" t="n">
        <v>0.41</v>
      </c>
      <c r="G55" s="72" t="n">
        <v>0</v>
      </c>
      <c r="H55" s="73" t="n"/>
      <c r="I55" s="74">
        <f>IF(OR(E55="",F55=""),"",E55*F55)</f>
        <v/>
      </c>
      <c r="J55" s="75">
        <f>IF(I55="","",IF(D55="Buy",I55+N(G55),IF(D55="Sell",I55-N(G55),IF(D55="Dividend",I55-N(G55),I55+N(G55)))))</f>
        <v/>
      </c>
      <c r="K55" s="76">
        <f>IF(B55="","",DATE(YEAR(B55),MONTH(B55),1))</f>
        <v/>
      </c>
      <c r="L55" s="77">
        <f>IF(B55="","",YEAR(B55))</f>
        <v/>
      </c>
    </row>
    <row r="56" ht="19" customHeight="1">
      <c r="A56" s="69">
        <f>IF(B56="","",ROW()-5)</f>
        <v/>
      </c>
      <c r="B56" s="43" t="n">
        <v>45833</v>
      </c>
      <c r="C56" s="41" t="inlineStr">
        <is>
          <t>EMKT</t>
        </is>
      </c>
      <c r="D56" s="41" t="inlineStr">
        <is>
          <t>Dividend</t>
        </is>
      </c>
      <c r="E56" s="70" t="n">
        <v>14.2712</v>
      </c>
      <c r="F56" s="71" t="n">
        <v>0.29</v>
      </c>
      <c r="G56" s="72" t="n">
        <v>0</v>
      </c>
      <c r="H56" s="73" t="n"/>
      <c r="I56" s="74">
        <f>IF(OR(E56="",F56=""),"",E56*F56)</f>
        <v/>
      </c>
      <c r="J56" s="75">
        <f>IF(I56="","",IF(D56="Buy",I56+N(G56),IF(D56="Sell",I56-N(G56),IF(D56="Dividend",I56-N(G56),I56+N(G56)))))</f>
        <v/>
      </c>
      <c r="K56" s="76">
        <f>IF(B56="","",DATE(YEAR(B56),MONTH(B56),1))</f>
        <v/>
      </c>
      <c r="L56" s="77">
        <f>IF(B56="","",YEAR(B56))</f>
        <v/>
      </c>
    </row>
    <row r="57" ht="19" customHeight="1">
      <c r="A57" s="69">
        <f>IF(B57="","",ROW()-5)</f>
        <v/>
      </c>
      <c r="B57" s="43" t="n">
        <v>45833</v>
      </c>
      <c r="C57" s="41" t="inlineStr">
        <is>
          <t>AGGB</t>
        </is>
      </c>
      <c r="D57" s="41" t="inlineStr">
        <is>
          <t>Dividend</t>
        </is>
      </c>
      <c r="E57" s="70" t="n">
        <v>17.6523</v>
      </c>
      <c r="F57" s="71" t="n">
        <v>0.46</v>
      </c>
      <c r="G57" s="72" t="n">
        <v>0</v>
      </c>
      <c r="H57" s="73" t="n"/>
      <c r="I57" s="74">
        <f>IF(OR(E57="",F57=""),"",E57*F57)</f>
        <v/>
      </c>
      <c r="J57" s="75">
        <f>IF(I57="","",IF(D57="Buy",I57+N(G57),IF(D57="Sell",I57-N(G57),IF(D57="Dividend",I57-N(G57),I57+N(G57)))))</f>
        <v/>
      </c>
      <c r="K57" s="76">
        <f>IF(B57="","",DATE(YEAR(B57),MONTH(B57),1))</f>
        <v/>
      </c>
      <c r="L57" s="77">
        <f>IF(B57="","",YEAR(B57))</f>
        <v/>
      </c>
    </row>
    <row r="58" ht="19" customHeight="1">
      <c r="A58" s="69">
        <f>IF(B58="","",ROW()-5)</f>
        <v/>
      </c>
      <c r="B58" s="43" t="n">
        <v>45833</v>
      </c>
      <c r="C58" s="41" t="inlineStr">
        <is>
          <t>TECH</t>
        </is>
      </c>
      <c r="D58" s="41" t="inlineStr">
        <is>
          <t>Dividend</t>
        </is>
      </c>
      <c r="E58" s="70" t="n">
        <v>7</v>
      </c>
      <c r="F58" s="71" t="n">
        <v>0.26</v>
      </c>
      <c r="G58" s="72" t="n">
        <v>0</v>
      </c>
      <c r="H58" s="73" t="n"/>
      <c r="I58" s="74">
        <f>IF(OR(E58="",F58=""),"",E58*F58)</f>
        <v/>
      </c>
      <c r="J58" s="75">
        <f>IF(I58="","",IF(D58="Buy",I58+N(G58),IF(D58="Sell",I58-N(G58),IF(D58="Dividend",I58-N(G58),I58+N(G58)))))</f>
        <v/>
      </c>
      <c r="K58" s="76">
        <f>IF(B58="","",DATE(YEAR(B58),MONTH(B58),1))</f>
        <v/>
      </c>
      <c r="L58" s="77">
        <f>IF(B58="","",YEAR(B58))</f>
        <v/>
      </c>
    </row>
    <row r="59" ht="19" customHeight="1">
      <c r="A59" s="69">
        <f>IF(B59="","",ROW()-5)</f>
        <v/>
      </c>
      <c r="B59" s="43" t="n">
        <v>45833</v>
      </c>
      <c r="C59" s="41" t="inlineStr">
        <is>
          <t>BANK</t>
        </is>
      </c>
      <c r="D59" s="41" t="inlineStr">
        <is>
          <t>Dividend</t>
        </is>
      </c>
      <c r="E59" s="70" t="n">
        <v>22</v>
      </c>
      <c r="F59" s="71" t="n">
        <v>0.5600000000000001</v>
      </c>
      <c r="G59" s="72" t="n">
        <v>0</v>
      </c>
      <c r="H59" s="73" t="n"/>
      <c r="I59" s="74">
        <f>IF(OR(E59="",F59=""),"",E59*F59)</f>
        <v/>
      </c>
      <c r="J59" s="75">
        <f>IF(I59="","",IF(D59="Buy",I59+N(G59),IF(D59="Sell",I59-N(G59),IF(D59="Dividend",I59-N(G59),I59+N(G59)))))</f>
        <v/>
      </c>
      <c r="K59" s="76">
        <f>IF(B59="","",DATE(YEAR(B59),MONTH(B59),1))</f>
        <v/>
      </c>
      <c r="L59" s="77">
        <f>IF(B59="","",YEAR(B59))</f>
        <v/>
      </c>
    </row>
    <row r="60" ht="19" customHeight="1">
      <c r="A60" s="69">
        <f>IF(B60="","",ROW()-5)</f>
        <v/>
      </c>
      <c r="B60" s="43" t="n">
        <v>45833</v>
      </c>
      <c r="C60" s="41" t="inlineStr">
        <is>
          <t>HLTH</t>
        </is>
      </c>
      <c r="D60" s="41" t="inlineStr">
        <is>
          <t>Dividend</t>
        </is>
      </c>
      <c r="E60" s="70" t="n">
        <v>12</v>
      </c>
      <c r="F60" s="71" t="n">
        <v>0.86</v>
      </c>
      <c r="G60" s="72" t="n">
        <v>0</v>
      </c>
      <c r="H60" s="73" t="n"/>
      <c r="I60" s="74">
        <f>IF(OR(E60="",F60=""),"",E60*F60)</f>
        <v/>
      </c>
      <c r="J60" s="75">
        <f>IF(I60="","",IF(D60="Buy",I60+N(G60),IF(D60="Sell",I60-N(G60),IF(D60="Dividend",I60-N(G60),I60+N(G60)))))</f>
        <v/>
      </c>
      <c r="K60" s="76">
        <f>IF(B60="","",DATE(YEAR(B60),MONTH(B60),1))</f>
        <v/>
      </c>
      <c r="L60" s="77">
        <f>IF(B60="","",YEAR(B60))</f>
        <v/>
      </c>
    </row>
    <row r="61" ht="19" customHeight="1">
      <c r="A61" s="69">
        <f>IF(B61="","",ROW()-5)</f>
        <v/>
      </c>
      <c r="B61" s="43" t="n">
        <v>45833</v>
      </c>
      <c r="C61" s="41" t="inlineStr">
        <is>
          <t>ENRG</t>
        </is>
      </c>
      <c r="D61" s="41" t="inlineStr">
        <is>
          <t>Dividend</t>
        </is>
      </c>
      <c r="E61" s="70" t="n">
        <v>24</v>
      </c>
      <c r="F61" s="71" t="n">
        <v>0.35</v>
      </c>
      <c r="G61" s="72" t="n">
        <v>0</v>
      </c>
      <c r="H61" s="73" t="n"/>
      <c r="I61" s="74">
        <f>IF(OR(E61="",F61=""),"",E61*F61)</f>
        <v/>
      </c>
      <c r="J61" s="75">
        <f>IF(I61="","",IF(D61="Buy",I61+N(G61),IF(D61="Sell",I61-N(G61),IF(D61="Dividend",I61-N(G61),I61+N(G61)))))</f>
        <v/>
      </c>
      <c r="K61" s="76">
        <f>IF(B61="","",DATE(YEAR(B61),MONTH(B61),1))</f>
        <v/>
      </c>
      <c r="L61" s="77">
        <f>IF(B61="","",YEAR(B61))</f>
        <v/>
      </c>
    </row>
    <row r="62" ht="19" customHeight="1">
      <c r="A62" s="69">
        <f>IF(B62="","",ROW()-5)</f>
        <v/>
      </c>
      <c r="B62" s="43" t="n">
        <v>45833</v>
      </c>
      <c r="C62" s="41" t="inlineStr">
        <is>
          <t>CONS</t>
        </is>
      </c>
      <c r="D62" s="41" t="inlineStr">
        <is>
          <t>Dividend</t>
        </is>
      </c>
      <c r="E62" s="70" t="n">
        <v>20</v>
      </c>
      <c r="F62" s="71" t="n">
        <v>0.6</v>
      </c>
      <c r="G62" s="72" t="n">
        <v>0</v>
      </c>
      <c r="H62" s="73" t="n"/>
      <c r="I62" s="74">
        <f>IF(OR(E62="",F62=""),"",E62*F62)</f>
        <v/>
      </c>
      <c r="J62" s="75">
        <f>IF(I62="","",IF(D62="Buy",I62+N(G62),IF(D62="Sell",I62-N(G62),IF(D62="Dividend",I62-N(G62),I62+N(G62)))))</f>
        <v/>
      </c>
      <c r="K62" s="76">
        <f>IF(B62="","",DATE(YEAR(B62),MONTH(B62),1))</f>
        <v/>
      </c>
      <c r="L62" s="77">
        <f>IF(B62="","",YEAR(B62))</f>
        <v/>
      </c>
    </row>
    <row r="63" ht="19" customHeight="1">
      <c r="A63" s="69">
        <f>IF(B63="","",ROW()-5)</f>
        <v/>
      </c>
      <c r="B63" s="43" t="n">
        <v>45833</v>
      </c>
      <c r="C63" s="41" t="inlineStr">
        <is>
          <t>PROP</t>
        </is>
      </c>
      <c r="D63" s="41" t="inlineStr">
        <is>
          <t>Dividend</t>
        </is>
      </c>
      <c r="E63" s="70" t="n">
        <v>14</v>
      </c>
      <c r="F63" s="71" t="n">
        <v>0.42</v>
      </c>
      <c r="G63" s="72" t="n">
        <v>0</v>
      </c>
      <c r="H63" s="73" t="n"/>
      <c r="I63" s="74">
        <f>IF(OR(E63="",F63=""),"",E63*F63)</f>
        <v/>
      </c>
      <c r="J63" s="75">
        <f>IF(I63="","",IF(D63="Buy",I63+N(G63),IF(D63="Sell",I63-N(G63),IF(D63="Dividend",I63-N(G63),I63+N(G63)))))</f>
        <v/>
      </c>
      <c r="K63" s="76">
        <f>IF(B63="","",DATE(YEAR(B63),MONTH(B63),1))</f>
        <v/>
      </c>
      <c r="L63" s="77">
        <f>IF(B63="","",YEAR(B63))</f>
        <v/>
      </c>
    </row>
    <row r="64" ht="19" customHeight="1">
      <c r="A64" s="69">
        <f>IF(B64="","",ROW()-5)</f>
        <v/>
      </c>
      <c r="B64" s="43" t="n">
        <v>45841</v>
      </c>
      <c r="C64" s="41" t="inlineStr">
        <is>
          <t>WRLD</t>
        </is>
      </c>
      <c r="D64" s="41" t="inlineStr">
        <is>
          <t>Buy</t>
        </is>
      </c>
      <c r="E64" s="70" t="n">
        <v>2.6762</v>
      </c>
      <c r="F64" s="71" t="n">
        <v>93.42</v>
      </c>
      <c r="G64" s="72" t="n">
        <v>1</v>
      </c>
      <c r="H64" s="73" t="n"/>
      <c r="I64" s="74">
        <f>IF(OR(E64="",F64=""),"",E64*F64)</f>
        <v/>
      </c>
      <c r="J64" s="75">
        <f>IF(I64="","",IF(D64="Buy",I64+N(G64),IF(D64="Sell",I64-N(G64),IF(D64="Dividend",I64-N(G64),I64+N(G64)))))</f>
        <v/>
      </c>
      <c r="K64" s="76">
        <f>IF(B64="","",DATE(YEAR(B64),MONTH(B64),1))</f>
        <v/>
      </c>
      <c r="L64" s="77">
        <f>IF(B64="","",YEAR(B64))</f>
        <v/>
      </c>
    </row>
    <row r="65" ht="19" customHeight="1">
      <c r="A65" s="69">
        <f>IF(B65="","",ROW()-5)</f>
        <v/>
      </c>
      <c r="B65" s="43" t="n">
        <v>45841</v>
      </c>
      <c r="C65" s="41" t="inlineStr">
        <is>
          <t>USMK</t>
        </is>
      </c>
      <c r="D65" s="41" t="inlineStr">
        <is>
          <t>Buy</t>
        </is>
      </c>
      <c r="E65" s="70" t="n">
        <v>1.5853</v>
      </c>
      <c r="F65" s="71" t="n">
        <v>126.16</v>
      </c>
      <c r="G65" s="72" t="n">
        <v>1</v>
      </c>
      <c r="H65" s="73" t="n"/>
      <c r="I65" s="74">
        <f>IF(OR(E65="",F65=""),"",E65*F65)</f>
        <v/>
      </c>
      <c r="J65" s="75">
        <f>IF(I65="","",IF(D65="Buy",I65+N(G65),IF(D65="Sell",I65-N(G65),IF(D65="Dividend",I65-N(G65),I65+N(G65)))))</f>
        <v/>
      </c>
      <c r="K65" s="76">
        <f>IF(B65="","",DATE(YEAR(B65),MONTH(B65),1))</f>
        <v/>
      </c>
      <c r="L65" s="77">
        <f>IF(B65="","",YEAR(B65))</f>
        <v/>
      </c>
    </row>
    <row r="66" ht="19" customHeight="1">
      <c r="A66" s="69">
        <f>IF(B66="","",ROW()-5)</f>
        <v/>
      </c>
      <c r="B66" s="43" t="n">
        <v>45841</v>
      </c>
      <c r="C66" s="41" t="inlineStr">
        <is>
          <t>AGGB</t>
        </is>
      </c>
      <c r="D66" s="41" t="inlineStr">
        <is>
          <t>Buy</t>
        </is>
      </c>
      <c r="E66" s="70" t="n">
        <v>3.0062</v>
      </c>
      <c r="F66" s="71" t="n">
        <v>49.9</v>
      </c>
      <c r="G66" s="72" t="n">
        <v>1</v>
      </c>
      <c r="H66" s="73" t="n"/>
      <c r="I66" s="74">
        <f>IF(OR(E66="",F66=""),"",E66*F66)</f>
        <v/>
      </c>
      <c r="J66" s="75">
        <f>IF(I66="","",IF(D66="Buy",I66+N(G66),IF(D66="Sell",I66-N(G66),IF(D66="Dividend",I66-N(G66),I66+N(G66)))))</f>
        <v/>
      </c>
      <c r="K66" s="76">
        <f>IF(B66="","",DATE(YEAR(B66),MONTH(B66),1))</f>
        <v/>
      </c>
      <c r="L66" s="77">
        <f>IF(B66="","",YEAR(B66))</f>
        <v/>
      </c>
    </row>
    <row r="67" ht="19" customHeight="1">
      <c r="A67" s="69">
        <f>IF(B67="","",ROW()-5)</f>
        <v/>
      </c>
      <c r="B67" s="43" t="n">
        <v>45841</v>
      </c>
      <c r="C67" s="41" t="inlineStr">
        <is>
          <t>EMKT</t>
        </is>
      </c>
      <c r="D67" s="41" t="inlineStr">
        <is>
          <t>Buy</t>
        </is>
      </c>
      <c r="E67" s="70" t="n">
        <v>2.2336</v>
      </c>
      <c r="F67" s="71" t="n">
        <v>44.77</v>
      </c>
      <c r="G67" s="72" t="n">
        <v>1</v>
      </c>
      <c r="H67" s="73" t="n"/>
      <c r="I67" s="74">
        <f>IF(OR(E67="",F67=""),"",E67*F67)</f>
        <v/>
      </c>
      <c r="J67" s="75">
        <f>IF(I67="","",IF(D67="Buy",I67+N(G67),IF(D67="Sell",I67-N(G67),IF(D67="Dividend",I67-N(G67),I67+N(G67)))))</f>
        <v/>
      </c>
      <c r="K67" s="76">
        <f>IF(B67="","",DATE(YEAR(B67),MONTH(B67),1))</f>
        <v/>
      </c>
      <c r="L67" s="77">
        <f>IF(B67="","",YEAR(B67))</f>
        <v/>
      </c>
    </row>
    <row r="68" ht="19" customHeight="1">
      <c r="A68" s="69">
        <f>IF(B68="","",ROW()-5)</f>
        <v/>
      </c>
      <c r="B68" s="43" t="n">
        <v>45850</v>
      </c>
      <c r="C68" s="41" t="inlineStr">
        <is>
          <t>PROP</t>
        </is>
      </c>
      <c r="D68" s="41" t="inlineStr">
        <is>
          <t>Buy</t>
        </is>
      </c>
      <c r="E68" s="70" t="n">
        <v>6</v>
      </c>
      <c r="F68" s="71" t="n">
        <v>23.25</v>
      </c>
      <c r="G68" s="72" t="n">
        <v>1.5</v>
      </c>
      <c r="H68" s="73" t="n"/>
      <c r="I68" s="74">
        <f>IF(OR(E68="",F68=""),"",E68*F68)</f>
        <v/>
      </c>
      <c r="J68" s="75">
        <f>IF(I68="","",IF(D68="Buy",I68+N(G68),IF(D68="Sell",I68-N(G68),IF(D68="Dividend",I68-N(G68),I68+N(G68)))))</f>
        <v/>
      </c>
      <c r="K68" s="76">
        <f>IF(B68="","",DATE(YEAR(B68),MONTH(B68),1))</f>
        <v/>
      </c>
      <c r="L68" s="77">
        <f>IF(B68="","",YEAR(B68))</f>
        <v/>
      </c>
    </row>
    <row r="69" ht="19" customHeight="1">
      <c r="A69" s="69">
        <f>IF(B69="","",ROW()-5)</f>
        <v/>
      </c>
      <c r="B69" s="43" t="n">
        <v>45854</v>
      </c>
      <c r="C69" s="41" t="inlineStr">
        <is>
          <t>GLDX</t>
        </is>
      </c>
      <c r="D69" s="41" t="inlineStr">
        <is>
          <t>Buy</t>
        </is>
      </c>
      <c r="E69" s="70" t="n">
        <v>3</v>
      </c>
      <c r="F69" s="71" t="n">
        <v>177.97</v>
      </c>
      <c r="G69" s="72" t="n">
        <v>1.5</v>
      </c>
      <c r="H69" s="73" t="n"/>
      <c r="I69" s="74">
        <f>IF(OR(E69="",F69=""),"",E69*F69)</f>
        <v/>
      </c>
      <c r="J69" s="75">
        <f>IF(I69="","",IF(D69="Buy",I69+N(G69),IF(D69="Sell",I69-N(G69),IF(D69="Dividend",I69-N(G69),I69+N(G69)))))</f>
        <v/>
      </c>
      <c r="K69" s="76">
        <f>IF(B69="","",DATE(YEAR(B69),MONTH(B69),1))</f>
        <v/>
      </c>
      <c r="L69" s="77">
        <f>IF(B69="","",YEAR(B69))</f>
        <v/>
      </c>
    </row>
    <row r="70" ht="19" customHeight="1">
      <c r="A70" s="69">
        <f>IF(B70="","",ROW()-5)</f>
        <v/>
      </c>
      <c r="B70" s="43" t="n">
        <v>45872</v>
      </c>
      <c r="C70" s="41" t="inlineStr">
        <is>
          <t>WRLD</t>
        </is>
      </c>
      <c r="D70" s="41" t="inlineStr">
        <is>
          <t>Buy</t>
        </is>
      </c>
      <c r="E70" s="70" t="n">
        <v>2.5324</v>
      </c>
      <c r="F70" s="71" t="n">
        <v>98.72</v>
      </c>
      <c r="G70" s="72" t="n">
        <v>1</v>
      </c>
      <c r="H70" s="73" t="n"/>
      <c r="I70" s="74">
        <f>IF(OR(E70="",F70=""),"",E70*F70)</f>
        <v/>
      </c>
      <c r="J70" s="75">
        <f>IF(I70="","",IF(D70="Buy",I70+N(G70),IF(D70="Sell",I70-N(G70),IF(D70="Dividend",I70-N(G70),I70+N(G70)))))</f>
        <v/>
      </c>
      <c r="K70" s="76">
        <f>IF(B70="","",DATE(YEAR(B70),MONTH(B70),1))</f>
        <v/>
      </c>
      <c r="L70" s="77">
        <f>IF(B70="","",YEAR(B70))</f>
        <v/>
      </c>
    </row>
    <row r="71" ht="19" customHeight="1">
      <c r="A71" s="69">
        <f>IF(B71="","",ROW()-5)</f>
        <v/>
      </c>
      <c r="B71" s="43" t="n">
        <v>45872</v>
      </c>
      <c r="C71" s="41" t="inlineStr">
        <is>
          <t>USMK</t>
        </is>
      </c>
      <c r="D71" s="41" t="inlineStr">
        <is>
          <t>Buy</t>
        </is>
      </c>
      <c r="E71" s="70" t="n">
        <v>1.5258</v>
      </c>
      <c r="F71" s="71" t="n">
        <v>131.08</v>
      </c>
      <c r="G71" s="72" t="n">
        <v>1</v>
      </c>
      <c r="H71" s="73" t="n"/>
      <c r="I71" s="74">
        <f>IF(OR(E71="",F71=""),"",E71*F71)</f>
        <v/>
      </c>
      <c r="J71" s="75">
        <f>IF(I71="","",IF(D71="Buy",I71+N(G71),IF(D71="Sell",I71-N(G71),IF(D71="Dividend",I71-N(G71),I71+N(G71)))))</f>
        <v/>
      </c>
      <c r="K71" s="76">
        <f>IF(B71="","",DATE(YEAR(B71),MONTH(B71),1))</f>
        <v/>
      </c>
      <c r="L71" s="77">
        <f>IF(B71="","",YEAR(B71))</f>
        <v/>
      </c>
    </row>
    <row r="72" ht="19" customHeight="1">
      <c r="A72" s="69">
        <f>IF(B72="","",ROW()-5)</f>
        <v/>
      </c>
      <c r="B72" s="43" t="n">
        <v>45872</v>
      </c>
      <c r="C72" s="41" t="inlineStr">
        <is>
          <t>AGGB</t>
        </is>
      </c>
      <c r="D72" s="41" t="inlineStr">
        <is>
          <t>Buy</t>
        </is>
      </c>
      <c r="E72" s="70" t="n">
        <v>2.8039</v>
      </c>
      <c r="F72" s="71" t="n">
        <v>53.5</v>
      </c>
      <c r="G72" s="72" t="n">
        <v>1</v>
      </c>
      <c r="H72" s="73" t="n"/>
      <c r="I72" s="74">
        <f>IF(OR(E72="",F72=""),"",E72*F72)</f>
        <v/>
      </c>
      <c r="J72" s="75">
        <f>IF(I72="","",IF(D72="Buy",I72+N(G72),IF(D72="Sell",I72-N(G72),IF(D72="Dividend",I72-N(G72),I72+N(G72)))))</f>
        <v/>
      </c>
      <c r="K72" s="76">
        <f>IF(B72="","",DATE(YEAR(B72),MONTH(B72),1))</f>
        <v/>
      </c>
      <c r="L72" s="77">
        <f>IF(B72="","",YEAR(B72))</f>
        <v/>
      </c>
    </row>
    <row r="73" ht="19" customHeight="1">
      <c r="A73" s="69">
        <f>IF(B73="","",ROW()-5)</f>
        <v/>
      </c>
      <c r="B73" s="43" t="n">
        <v>45872</v>
      </c>
      <c r="C73" s="41" t="inlineStr">
        <is>
          <t>EMKT</t>
        </is>
      </c>
      <c r="D73" s="41" t="inlineStr">
        <is>
          <t>Buy</t>
        </is>
      </c>
      <c r="E73" s="70" t="n">
        <v>2.2259</v>
      </c>
      <c r="F73" s="71" t="n">
        <v>44.93</v>
      </c>
      <c r="G73" s="72" t="n">
        <v>1</v>
      </c>
      <c r="H73" s="73" t="n"/>
      <c r="I73" s="74">
        <f>IF(OR(E73="",F73=""),"",E73*F73)</f>
        <v/>
      </c>
      <c r="J73" s="75">
        <f>IF(I73="","",IF(D73="Buy",I73+N(G73),IF(D73="Sell",I73-N(G73),IF(D73="Dividend",I73-N(G73),I73+N(G73)))))</f>
        <v/>
      </c>
      <c r="K73" s="76">
        <f>IF(B73="","",DATE(YEAR(B73),MONTH(B73),1))</f>
        <v/>
      </c>
      <c r="L73" s="77">
        <f>IF(B73="","",YEAR(B73))</f>
        <v/>
      </c>
    </row>
    <row r="74" ht="19" customHeight="1">
      <c r="A74" s="69">
        <f>IF(B74="","",ROW()-5)</f>
        <v/>
      </c>
      <c r="B74" s="43" t="n">
        <v>45881</v>
      </c>
      <c r="C74" s="41" t="inlineStr">
        <is>
          <t>TECH</t>
        </is>
      </c>
      <c r="D74" s="41" t="inlineStr">
        <is>
          <t>Buy</t>
        </is>
      </c>
      <c r="E74" s="70" t="n">
        <v>4</v>
      </c>
      <c r="F74" s="71" t="n">
        <v>280.36</v>
      </c>
      <c r="G74" s="72" t="n">
        <v>1.5</v>
      </c>
      <c r="H74" s="73" t="n"/>
      <c r="I74" s="74">
        <f>IF(OR(E74="",F74=""),"",E74*F74)</f>
        <v/>
      </c>
      <c r="J74" s="75">
        <f>IF(I74="","",IF(D74="Buy",I74+N(G74),IF(D74="Sell",I74-N(G74),IF(D74="Dividend",I74-N(G74),I74+N(G74)))))</f>
        <v/>
      </c>
      <c r="K74" s="76">
        <f>IF(B74="","",DATE(YEAR(B74),MONTH(B74),1))</f>
        <v/>
      </c>
      <c r="L74" s="77">
        <f>IF(B74="","",YEAR(B74))</f>
        <v/>
      </c>
    </row>
    <row r="75" ht="19" customHeight="1">
      <c r="A75" s="69">
        <f>IF(B75="","",ROW()-5)</f>
        <v/>
      </c>
      <c r="B75" s="43" t="n">
        <v>45885</v>
      </c>
      <c r="C75" s="41" t="inlineStr">
        <is>
          <t>BANK</t>
        </is>
      </c>
      <c r="D75" s="41" t="inlineStr">
        <is>
          <t>Buy</t>
        </is>
      </c>
      <c r="E75" s="70" t="n">
        <v>8</v>
      </c>
      <c r="F75" s="71" t="n">
        <v>64.09</v>
      </c>
      <c r="G75" s="72" t="n">
        <v>1.5</v>
      </c>
      <c r="H75" s="73" t="n"/>
      <c r="I75" s="74">
        <f>IF(OR(E75="",F75=""),"",E75*F75)</f>
        <v/>
      </c>
      <c r="J75" s="75">
        <f>IF(I75="","",IF(D75="Buy",I75+N(G75),IF(D75="Sell",I75-N(G75),IF(D75="Dividend",I75-N(G75),I75+N(G75)))))</f>
        <v/>
      </c>
      <c r="K75" s="76">
        <f>IF(B75="","",DATE(YEAR(B75),MONTH(B75),1))</f>
        <v/>
      </c>
      <c r="L75" s="77">
        <f>IF(B75="","",YEAR(B75))</f>
        <v/>
      </c>
    </row>
    <row r="76" ht="19" customHeight="1">
      <c r="A76" s="69">
        <f>IF(B76="","",ROW()-5)</f>
        <v/>
      </c>
      <c r="B76" s="43" t="n">
        <v>45903</v>
      </c>
      <c r="C76" s="41" t="inlineStr">
        <is>
          <t>WRLD</t>
        </is>
      </c>
      <c r="D76" s="41" t="inlineStr">
        <is>
          <t>Buy</t>
        </is>
      </c>
      <c r="E76" s="70" t="n">
        <v>2.6592</v>
      </c>
      <c r="F76" s="71" t="n">
        <v>94.01000000000001</v>
      </c>
      <c r="G76" s="72" t="n">
        <v>1</v>
      </c>
      <c r="H76" s="73" t="n"/>
      <c r="I76" s="74">
        <f>IF(OR(E76="",F76=""),"",E76*F76)</f>
        <v/>
      </c>
      <c r="J76" s="75">
        <f>IF(I76="","",IF(D76="Buy",I76+N(G76),IF(D76="Sell",I76-N(G76),IF(D76="Dividend",I76-N(G76),I76+N(G76)))))</f>
        <v/>
      </c>
      <c r="K76" s="76">
        <f>IF(B76="","",DATE(YEAR(B76),MONTH(B76),1))</f>
        <v/>
      </c>
      <c r="L76" s="77">
        <f>IF(B76="","",YEAR(B76))</f>
        <v/>
      </c>
    </row>
    <row r="77" ht="19" customHeight="1">
      <c r="A77" s="69">
        <f>IF(B77="","",ROW()-5)</f>
        <v/>
      </c>
      <c r="B77" s="43" t="n">
        <v>45903</v>
      </c>
      <c r="C77" s="41" t="inlineStr">
        <is>
          <t>USMK</t>
        </is>
      </c>
      <c r="D77" s="41" t="inlineStr">
        <is>
          <t>Buy</t>
        </is>
      </c>
      <c r="E77" s="70" t="n">
        <v>1.6157</v>
      </c>
      <c r="F77" s="71" t="n">
        <v>123.79</v>
      </c>
      <c r="G77" s="72" t="n">
        <v>1</v>
      </c>
      <c r="H77" s="73" t="n"/>
      <c r="I77" s="74">
        <f>IF(OR(E77="",F77=""),"",E77*F77)</f>
        <v/>
      </c>
      <c r="J77" s="75">
        <f>IF(I77="","",IF(D77="Buy",I77+N(G77),IF(D77="Sell",I77-N(G77),IF(D77="Dividend",I77-N(G77),I77+N(G77)))))</f>
        <v/>
      </c>
      <c r="K77" s="76">
        <f>IF(B77="","",DATE(YEAR(B77),MONTH(B77),1))</f>
        <v/>
      </c>
      <c r="L77" s="77">
        <f>IF(B77="","",YEAR(B77))</f>
        <v/>
      </c>
    </row>
    <row r="78" ht="19" customHeight="1">
      <c r="A78" s="69">
        <f>IF(B78="","",ROW()-5)</f>
        <v/>
      </c>
      <c r="B78" s="43" t="n">
        <v>45903</v>
      </c>
      <c r="C78" s="41" t="inlineStr">
        <is>
          <t>AGGB</t>
        </is>
      </c>
      <c r="D78" s="41" t="inlineStr">
        <is>
          <t>Buy</t>
        </is>
      </c>
      <c r="E78" s="70" t="n">
        <v>2.6788</v>
      </c>
      <c r="F78" s="71" t="n">
        <v>56</v>
      </c>
      <c r="G78" s="72" t="n">
        <v>1</v>
      </c>
      <c r="H78" s="73" t="n"/>
      <c r="I78" s="74">
        <f>IF(OR(E78="",F78=""),"",E78*F78)</f>
        <v/>
      </c>
      <c r="J78" s="75">
        <f>IF(I78="","",IF(D78="Buy",I78+N(G78),IF(D78="Sell",I78-N(G78),IF(D78="Dividend",I78-N(G78),I78+N(G78)))))</f>
        <v/>
      </c>
      <c r="K78" s="76">
        <f>IF(B78="","",DATE(YEAR(B78),MONTH(B78),1))</f>
        <v/>
      </c>
      <c r="L78" s="77">
        <f>IF(B78="","",YEAR(B78))</f>
        <v/>
      </c>
    </row>
    <row r="79" ht="19" customHeight="1">
      <c r="A79" s="69">
        <f>IF(B79="","",ROW()-5)</f>
        <v/>
      </c>
      <c r="B79" s="43" t="n">
        <v>45903</v>
      </c>
      <c r="C79" s="41" t="inlineStr">
        <is>
          <t>EMKT</t>
        </is>
      </c>
      <c r="D79" s="41" t="inlineStr">
        <is>
          <t>Buy</t>
        </is>
      </c>
      <c r="E79" s="70" t="n">
        <v>2.1254</v>
      </c>
      <c r="F79" s="71" t="n">
        <v>47.05</v>
      </c>
      <c r="G79" s="72" t="n">
        <v>1</v>
      </c>
      <c r="H79" s="73" t="n"/>
      <c r="I79" s="74">
        <f>IF(OR(E79="",F79=""),"",E79*F79)</f>
        <v/>
      </c>
      <c r="J79" s="75">
        <f>IF(I79="","",IF(D79="Buy",I79+N(G79),IF(D79="Sell",I79-N(G79),IF(D79="Dividend",I79-N(G79),I79+N(G79)))))</f>
        <v/>
      </c>
      <c r="K79" s="76">
        <f>IF(B79="","",DATE(YEAR(B79),MONTH(B79),1))</f>
        <v/>
      </c>
      <c r="L79" s="77">
        <f>IF(B79="","",YEAR(B79))</f>
        <v/>
      </c>
    </row>
    <row r="80" ht="19" customHeight="1">
      <c r="A80" s="69">
        <f>IF(B80="","",ROW()-5)</f>
        <v/>
      </c>
      <c r="B80" s="43" t="n">
        <v>45912</v>
      </c>
      <c r="C80" s="41" t="inlineStr">
        <is>
          <t>HLTH</t>
        </is>
      </c>
      <c r="D80" s="41" t="inlineStr">
        <is>
          <t>Buy</t>
        </is>
      </c>
      <c r="E80" s="70" t="n">
        <v>6</v>
      </c>
      <c r="F80" s="71" t="n">
        <v>122.15</v>
      </c>
      <c r="G80" s="72" t="n">
        <v>1.5</v>
      </c>
      <c r="H80" s="73" t="n"/>
      <c r="I80" s="74">
        <f>IF(OR(E80="",F80=""),"",E80*F80)</f>
        <v/>
      </c>
      <c r="J80" s="75">
        <f>IF(I80="","",IF(D80="Buy",I80+N(G80),IF(D80="Sell",I80-N(G80),IF(D80="Dividend",I80-N(G80),I80+N(G80)))))</f>
        <v/>
      </c>
      <c r="K80" s="76">
        <f>IF(B80="","",DATE(YEAR(B80),MONTH(B80),1))</f>
        <v/>
      </c>
      <c r="L80" s="77">
        <f>IF(B80="","",YEAR(B80))</f>
        <v/>
      </c>
    </row>
    <row r="81" ht="19" customHeight="1">
      <c r="A81" s="69">
        <f>IF(B81="","",ROW()-5)</f>
        <v/>
      </c>
      <c r="B81" s="43" t="n">
        <v>45916</v>
      </c>
      <c r="C81" s="41" t="inlineStr">
        <is>
          <t>ENRG</t>
        </is>
      </c>
      <c r="D81" s="41" t="inlineStr">
        <is>
          <t>Buy</t>
        </is>
      </c>
      <c r="E81" s="70" t="n">
        <v>6</v>
      </c>
      <c r="F81" s="71" t="n">
        <v>33.6</v>
      </c>
      <c r="G81" s="72" t="n">
        <v>1.5</v>
      </c>
      <c r="H81" s="73" t="n"/>
      <c r="I81" s="74">
        <f>IF(OR(E81="",F81=""),"",E81*F81)</f>
        <v/>
      </c>
      <c r="J81" s="75">
        <f>IF(I81="","",IF(D81="Buy",I81+N(G81),IF(D81="Sell",I81-N(G81),IF(D81="Dividend",I81-N(G81),I81+N(G81)))))</f>
        <v/>
      </c>
      <c r="K81" s="76">
        <f>IF(B81="","",DATE(YEAR(B81),MONTH(B81),1))</f>
        <v/>
      </c>
      <c r="L81" s="77">
        <f>IF(B81="","",YEAR(B81))</f>
        <v/>
      </c>
    </row>
    <row r="82" ht="19" customHeight="1">
      <c r="A82" s="69">
        <f>IF(B82="","",ROW()-5)</f>
        <v/>
      </c>
      <c r="B82" s="43" t="n">
        <v>45918</v>
      </c>
      <c r="C82" s="41" t="inlineStr">
        <is>
          <t>BTC</t>
        </is>
      </c>
      <c r="D82" s="41" t="inlineStr">
        <is>
          <t>Buy</t>
        </is>
      </c>
      <c r="E82" s="70" t="n">
        <v>0.006</v>
      </c>
      <c r="F82" s="71" t="n">
        <v>61723</v>
      </c>
      <c r="G82" s="72" t="n">
        <v>3</v>
      </c>
      <c r="H82" s="73" t="n"/>
      <c r="I82" s="74">
        <f>IF(OR(E82="",F82=""),"",E82*F82)</f>
        <v/>
      </c>
      <c r="J82" s="75">
        <f>IF(I82="","",IF(D82="Buy",I82+N(G82),IF(D82="Sell",I82-N(G82),IF(D82="Dividend",I82-N(G82),I82+N(G82)))))</f>
        <v/>
      </c>
      <c r="K82" s="76">
        <f>IF(B82="","",DATE(YEAR(B82),MONTH(B82),1))</f>
        <v/>
      </c>
      <c r="L82" s="77">
        <f>IF(B82="","",YEAR(B82))</f>
        <v/>
      </c>
    </row>
    <row r="83" ht="19" customHeight="1">
      <c r="A83" s="69">
        <f>IF(B83="","",ROW()-5)</f>
        <v/>
      </c>
      <c r="B83" s="43" t="n">
        <v>45925</v>
      </c>
      <c r="C83" s="41" t="inlineStr">
        <is>
          <t>WRLD</t>
        </is>
      </c>
      <c r="D83" s="41" t="inlineStr">
        <is>
          <t>Dividend</t>
        </is>
      </c>
      <c r="E83" s="70" t="n">
        <v>24.0252</v>
      </c>
      <c r="F83" s="71" t="n">
        <v>0.43</v>
      </c>
      <c r="G83" s="72" t="n">
        <v>0</v>
      </c>
      <c r="H83" s="73" t="n"/>
      <c r="I83" s="74">
        <f>IF(OR(E83="",F83=""),"",E83*F83)</f>
        <v/>
      </c>
      <c r="J83" s="75">
        <f>IF(I83="","",IF(D83="Buy",I83+N(G83),IF(D83="Sell",I83-N(G83),IF(D83="Dividend",I83-N(G83),I83+N(G83)))))</f>
        <v/>
      </c>
      <c r="K83" s="76">
        <f>IF(B83="","",DATE(YEAR(B83),MONTH(B83),1))</f>
        <v/>
      </c>
      <c r="L83" s="77">
        <f>IF(B83="","",YEAR(B83))</f>
        <v/>
      </c>
    </row>
    <row r="84" ht="19" customHeight="1">
      <c r="A84" s="69">
        <f>IF(B84="","",ROW()-5)</f>
        <v/>
      </c>
      <c r="B84" s="43" t="n">
        <v>45925</v>
      </c>
      <c r="C84" s="41" t="inlineStr">
        <is>
          <t>USMK</t>
        </is>
      </c>
      <c r="D84" s="41" t="inlineStr">
        <is>
          <t>Dividend</t>
        </is>
      </c>
      <c r="E84" s="70" t="n">
        <v>14.278</v>
      </c>
      <c r="F84" s="71" t="n">
        <v>0.41</v>
      </c>
      <c r="G84" s="72" t="n">
        <v>0</v>
      </c>
      <c r="H84" s="73" t="n"/>
      <c r="I84" s="74">
        <f>IF(OR(E84="",F84=""),"",E84*F84)</f>
        <v/>
      </c>
      <c r="J84" s="75">
        <f>IF(I84="","",IF(D84="Buy",I84+N(G84),IF(D84="Sell",I84-N(G84),IF(D84="Dividend",I84-N(G84),I84+N(G84)))))</f>
        <v/>
      </c>
      <c r="K84" s="76">
        <f>IF(B84="","",DATE(YEAR(B84),MONTH(B84),1))</f>
        <v/>
      </c>
      <c r="L84" s="77">
        <f>IF(B84="","",YEAR(B84))</f>
        <v/>
      </c>
    </row>
    <row r="85" ht="19" customHeight="1">
      <c r="A85" s="69">
        <f>IF(B85="","",ROW()-5)</f>
        <v/>
      </c>
      <c r="B85" s="43" t="n">
        <v>45925</v>
      </c>
      <c r="C85" s="41" t="inlineStr">
        <is>
          <t>EMKT</t>
        </is>
      </c>
      <c r="D85" s="41" t="inlineStr">
        <is>
          <t>Dividend</t>
        </is>
      </c>
      <c r="E85" s="70" t="n">
        <v>20.8561</v>
      </c>
      <c r="F85" s="71" t="n">
        <v>0.3</v>
      </c>
      <c r="G85" s="72" t="n">
        <v>0</v>
      </c>
      <c r="H85" s="73" t="n"/>
      <c r="I85" s="74">
        <f>IF(OR(E85="",F85=""),"",E85*F85)</f>
        <v/>
      </c>
      <c r="J85" s="75">
        <f>IF(I85="","",IF(D85="Buy",I85+N(G85),IF(D85="Sell",I85-N(G85),IF(D85="Dividend",I85-N(G85),I85+N(G85)))))</f>
        <v/>
      </c>
      <c r="K85" s="76">
        <f>IF(B85="","",DATE(YEAR(B85),MONTH(B85),1))</f>
        <v/>
      </c>
      <c r="L85" s="77">
        <f>IF(B85="","",YEAR(B85))</f>
        <v/>
      </c>
    </row>
    <row r="86" ht="19" customHeight="1">
      <c r="A86" s="69">
        <f>IF(B86="","",ROW()-5)</f>
        <v/>
      </c>
      <c r="B86" s="43" t="n">
        <v>45925</v>
      </c>
      <c r="C86" s="41" t="inlineStr">
        <is>
          <t>AGGB</t>
        </is>
      </c>
      <c r="D86" s="41" t="inlineStr">
        <is>
          <t>Dividend</t>
        </is>
      </c>
      <c r="E86" s="70" t="n">
        <v>26.1411</v>
      </c>
      <c r="F86" s="71" t="n">
        <v>0.49</v>
      </c>
      <c r="G86" s="72" t="n">
        <v>0</v>
      </c>
      <c r="H86" s="73" t="n"/>
      <c r="I86" s="74">
        <f>IF(OR(E86="",F86=""),"",E86*F86)</f>
        <v/>
      </c>
      <c r="J86" s="75">
        <f>IF(I86="","",IF(D86="Buy",I86+N(G86),IF(D86="Sell",I86-N(G86),IF(D86="Dividend",I86-N(G86),I86+N(G86)))))</f>
        <v/>
      </c>
      <c r="K86" s="76">
        <f>IF(B86="","",DATE(YEAR(B86),MONTH(B86),1))</f>
        <v/>
      </c>
      <c r="L86" s="77">
        <f>IF(B86="","",YEAR(B86))</f>
        <v/>
      </c>
    </row>
    <row r="87" ht="19" customHeight="1">
      <c r="A87" s="69">
        <f>IF(B87="","",ROW()-5)</f>
        <v/>
      </c>
      <c r="B87" s="43" t="n">
        <v>45925</v>
      </c>
      <c r="C87" s="41" t="inlineStr">
        <is>
          <t>TECH</t>
        </is>
      </c>
      <c r="D87" s="41" t="inlineStr">
        <is>
          <t>Dividend</t>
        </is>
      </c>
      <c r="E87" s="70" t="n">
        <v>11</v>
      </c>
      <c r="F87" s="71" t="n">
        <v>0.27</v>
      </c>
      <c r="G87" s="72" t="n">
        <v>0</v>
      </c>
      <c r="H87" s="73" t="n"/>
      <c r="I87" s="74">
        <f>IF(OR(E87="",F87=""),"",E87*F87)</f>
        <v/>
      </c>
      <c r="J87" s="75">
        <f>IF(I87="","",IF(D87="Buy",I87+N(G87),IF(D87="Sell",I87-N(G87),IF(D87="Dividend",I87-N(G87),I87+N(G87)))))</f>
        <v/>
      </c>
      <c r="K87" s="76">
        <f>IF(B87="","",DATE(YEAR(B87),MONTH(B87),1))</f>
        <v/>
      </c>
      <c r="L87" s="77">
        <f>IF(B87="","",YEAR(B87))</f>
        <v/>
      </c>
    </row>
    <row r="88" ht="19" customHeight="1">
      <c r="A88" s="69">
        <f>IF(B88="","",ROW()-5)</f>
        <v/>
      </c>
      <c r="B88" s="43" t="n">
        <v>45925</v>
      </c>
      <c r="C88" s="41" t="inlineStr">
        <is>
          <t>BANK</t>
        </is>
      </c>
      <c r="D88" s="41" t="inlineStr">
        <is>
          <t>Dividend</t>
        </is>
      </c>
      <c r="E88" s="70" t="n">
        <v>30</v>
      </c>
      <c r="F88" s="71" t="n">
        <v>0.55</v>
      </c>
      <c r="G88" s="72" t="n">
        <v>0</v>
      </c>
      <c r="H88" s="73" t="n"/>
      <c r="I88" s="74">
        <f>IF(OR(E88="",F88=""),"",E88*F88)</f>
        <v/>
      </c>
      <c r="J88" s="75">
        <f>IF(I88="","",IF(D88="Buy",I88+N(G88),IF(D88="Sell",I88-N(G88),IF(D88="Dividend",I88-N(G88),I88+N(G88)))))</f>
        <v/>
      </c>
      <c r="K88" s="76">
        <f>IF(B88="","",DATE(YEAR(B88),MONTH(B88),1))</f>
        <v/>
      </c>
      <c r="L88" s="77">
        <f>IF(B88="","",YEAR(B88))</f>
        <v/>
      </c>
    </row>
    <row r="89" ht="19" customHeight="1">
      <c r="A89" s="69">
        <f>IF(B89="","",ROW()-5)</f>
        <v/>
      </c>
      <c r="B89" s="43" t="n">
        <v>45925</v>
      </c>
      <c r="C89" s="41" t="inlineStr">
        <is>
          <t>HLTH</t>
        </is>
      </c>
      <c r="D89" s="41" t="inlineStr">
        <is>
          <t>Dividend</t>
        </is>
      </c>
      <c r="E89" s="70" t="n">
        <v>18</v>
      </c>
      <c r="F89" s="71" t="n">
        <v>0.77</v>
      </c>
      <c r="G89" s="72" t="n">
        <v>0</v>
      </c>
      <c r="H89" s="73" t="n"/>
      <c r="I89" s="74">
        <f>IF(OR(E89="",F89=""),"",E89*F89)</f>
        <v/>
      </c>
      <c r="J89" s="75">
        <f>IF(I89="","",IF(D89="Buy",I89+N(G89),IF(D89="Sell",I89-N(G89),IF(D89="Dividend",I89-N(G89),I89+N(G89)))))</f>
        <v/>
      </c>
      <c r="K89" s="76">
        <f>IF(B89="","",DATE(YEAR(B89),MONTH(B89),1))</f>
        <v/>
      </c>
      <c r="L89" s="77">
        <f>IF(B89="","",YEAR(B89))</f>
        <v/>
      </c>
    </row>
    <row r="90" ht="19" customHeight="1">
      <c r="A90" s="69">
        <f>IF(B90="","",ROW()-5)</f>
        <v/>
      </c>
      <c r="B90" s="43" t="n">
        <v>45925</v>
      </c>
      <c r="C90" s="41" t="inlineStr">
        <is>
          <t>ENRG</t>
        </is>
      </c>
      <c r="D90" s="41" t="inlineStr">
        <is>
          <t>Dividend</t>
        </is>
      </c>
      <c r="E90" s="70" t="n">
        <v>30</v>
      </c>
      <c r="F90" s="71" t="n">
        <v>0.36</v>
      </c>
      <c r="G90" s="72" t="n">
        <v>0</v>
      </c>
      <c r="H90" s="73" t="n"/>
      <c r="I90" s="74">
        <f>IF(OR(E90="",F90=""),"",E90*F90)</f>
        <v/>
      </c>
      <c r="J90" s="75">
        <f>IF(I90="","",IF(D90="Buy",I90+N(G90),IF(D90="Sell",I90-N(G90),IF(D90="Dividend",I90-N(G90),I90+N(G90)))))</f>
        <v/>
      </c>
      <c r="K90" s="76">
        <f>IF(B90="","",DATE(YEAR(B90),MONTH(B90),1))</f>
        <v/>
      </c>
      <c r="L90" s="77">
        <f>IF(B90="","",YEAR(B90))</f>
        <v/>
      </c>
    </row>
    <row r="91" ht="19" customHeight="1">
      <c r="A91" s="69">
        <f>IF(B91="","",ROW()-5)</f>
        <v/>
      </c>
      <c r="B91" s="43" t="n">
        <v>45925</v>
      </c>
      <c r="C91" s="41" t="inlineStr">
        <is>
          <t>CONS</t>
        </is>
      </c>
      <c r="D91" s="41" t="inlineStr">
        <is>
          <t>Dividend</t>
        </is>
      </c>
      <c r="E91" s="70" t="n">
        <v>20</v>
      </c>
      <c r="F91" s="71" t="n">
        <v>0.62</v>
      </c>
      <c r="G91" s="72" t="n">
        <v>0</v>
      </c>
      <c r="H91" s="73" t="n"/>
      <c r="I91" s="74">
        <f>IF(OR(E91="",F91=""),"",E91*F91)</f>
        <v/>
      </c>
      <c r="J91" s="75">
        <f>IF(I91="","",IF(D91="Buy",I91+N(G91),IF(D91="Sell",I91-N(G91),IF(D91="Dividend",I91-N(G91),I91+N(G91)))))</f>
        <v/>
      </c>
      <c r="K91" s="76">
        <f>IF(B91="","",DATE(YEAR(B91),MONTH(B91),1))</f>
        <v/>
      </c>
      <c r="L91" s="77">
        <f>IF(B91="","",YEAR(B91))</f>
        <v/>
      </c>
    </row>
    <row r="92" ht="19" customHeight="1">
      <c r="A92" s="69">
        <f>IF(B92="","",ROW()-5)</f>
        <v/>
      </c>
      <c r="B92" s="43" t="n">
        <v>45925</v>
      </c>
      <c r="C92" s="41" t="inlineStr">
        <is>
          <t>PROP</t>
        </is>
      </c>
      <c r="D92" s="41" t="inlineStr">
        <is>
          <t>Dividend</t>
        </is>
      </c>
      <c r="E92" s="70" t="n">
        <v>20</v>
      </c>
      <c r="F92" s="71" t="n">
        <v>0.4</v>
      </c>
      <c r="G92" s="72" t="n">
        <v>0</v>
      </c>
      <c r="H92" s="73" t="n"/>
      <c r="I92" s="74">
        <f>IF(OR(E92="",F92=""),"",E92*F92)</f>
        <v/>
      </c>
      <c r="J92" s="75">
        <f>IF(I92="","",IF(D92="Buy",I92+N(G92),IF(D92="Sell",I92-N(G92),IF(D92="Dividend",I92-N(G92),I92+N(G92)))))</f>
        <v/>
      </c>
      <c r="K92" s="76">
        <f>IF(B92="","",DATE(YEAR(B92),MONTH(B92),1))</f>
        <v/>
      </c>
      <c r="L92" s="77">
        <f>IF(B92="","",YEAR(B92))</f>
        <v/>
      </c>
    </row>
    <row r="93" ht="19" customHeight="1">
      <c r="A93" s="69">
        <f>IF(B93="","",ROW()-5)</f>
        <v/>
      </c>
      <c r="B93" s="43" t="n">
        <v>45933</v>
      </c>
      <c r="C93" s="41" t="inlineStr">
        <is>
          <t>WRLD</t>
        </is>
      </c>
      <c r="D93" s="41" t="inlineStr">
        <is>
          <t>Buy</t>
        </is>
      </c>
      <c r="E93" s="70" t="n">
        <v>2.8021</v>
      </c>
      <c r="F93" s="71" t="n">
        <v>89.22</v>
      </c>
      <c r="G93" s="72" t="n">
        <v>1</v>
      </c>
      <c r="H93" s="73" t="n"/>
      <c r="I93" s="74">
        <f>IF(OR(E93="",F93=""),"",E93*F93)</f>
        <v/>
      </c>
      <c r="J93" s="75">
        <f>IF(I93="","",IF(D93="Buy",I93+N(G93),IF(D93="Sell",I93-N(G93),IF(D93="Dividend",I93-N(G93),I93+N(G93)))))</f>
        <v/>
      </c>
      <c r="K93" s="76">
        <f>IF(B93="","",DATE(YEAR(B93),MONTH(B93),1))</f>
        <v/>
      </c>
      <c r="L93" s="77">
        <f>IF(B93="","",YEAR(B93))</f>
        <v/>
      </c>
    </row>
    <row r="94" ht="19" customHeight="1">
      <c r="A94" s="69">
        <f>IF(B94="","",ROW()-5)</f>
        <v/>
      </c>
      <c r="B94" s="43" t="n">
        <v>45933</v>
      </c>
      <c r="C94" s="41" t="inlineStr">
        <is>
          <t>USMK</t>
        </is>
      </c>
      <c r="D94" s="41" t="inlineStr">
        <is>
          <t>Buy</t>
        </is>
      </c>
      <c r="E94" s="70" t="n">
        <v>1.6174</v>
      </c>
      <c r="F94" s="71" t="n">
        <v>123.66</v>
      </c>
      <c r="G94" s="72" t="n">
        <v>1</v>
      </c>
      <c r="H94" s="73" t="n"/>
      <c r="I94" s="74">
        <f>IF(OR(E94="",F94=""),"",E94*F94)</f>
        <v/>
      </c>
      <c r="J94" s="75">
        <f>IF(I94="","",IF(D94="Buy",I94+N(G94),IF(D94="Sell",I94-N(G94),IF(D94="Dividend",I94-N(G94),I94+N(G94)))))</f>
        <v/>
      </c>
      <c r="K94" s="76">
        <f>IF(B94="","",DATE(YEAR(B94),MONTH(B94),1))</f>
        <v/>
      </c>
      <c r="L94" s="77">
        <f>IF(B94="","",YEAR(B94))</f>
        <v/>
      </c>
    </row>
    <row r="95" ht="19" customHeight="1">
      <c r="A95" s="69">
        <f>IF(B95="","",ROW()-5)</f>
        <v/>
      </c>
      <c r="B95" s="43" t="n">
        <v>45933</v>
      </c>
      <c r="C95" s="41" t="inlineStr">
        <is>
          <t>AGGB</t>
        </is>
      </c>
      <c r="D95" s="41" t="inlineStr">
        <is>
          <t>Buy</t>
        </is>
      </c>
      <c r="E95" s="70" t="n">
        <v>2.5505</v>
      </c>
      <c r="F95" s="71" t="n">
        <v>58.81</v>
      </c>
      <c r="G95" s="72" t="n">
        <v>1</v>
      </c>
      <c r="H95" s="73" t="n"/>
      <c r="I95" s="74">
        <f>IF(OR(E95="",F95=""),"",E95*F95)</f>
        <v/>
      </c>
      <c r="J95" s="75">
        <f>IF(I95="","",IF(D95="Buy",I95+N(G95),IF(D95="Sell",I95-N(G95),IF(D95="Dividend",I95-N(G95),I95+N(G95)))))</f>
        <v/>
      </c>
      <c r="K95" s="76">
        <f>IF(B95="","",DATE(YEAR(B95),MONTH(B95),1))</f>
        <v/>
      </c>
      <c r="L95" s="77">
        <f>IF(B95="","",YEAR(B95))</f>
        <v/>
      </c>
    </row>
    <row r="96" ht="19" customHeight="1">
      <c r="A96" s="69">
        <f>IF(B96="","",ROW()-5)</f>
        <v/>
      </c>
      <c r="B96" s="43" t="n">
        <v>45933</v>
      </c>
      <c r="C96" s="41" t="inlineStr">
        <is>
          <t>EMKT</t>
        </is>
      </c>
      <c r="D96" s="41" t="inlineStr">
        <is>
          <t>Buy</t>
        </is>
      </c>
      <c r="E96" s="70" t="n">
        <v>2.1765</v>
      </c>
      <c r="F96" s="71" t="n">
        <v>45.94</v>
      </c>
      <c r="G96" s="72" t="n">
        <v>1</v>
      </c>
      <c r="H96" s="73" t="n"/>
      <c r="I96" s="74">
        <f>IF(OR(E96="",F96=""),"",E96*F96)</f>
        <v/>
      </c>
      <c r="J96" s="75">
        <f>IF(I96="","",IF(D96="Buy",I96+N(G96),IF(D96="Sell",I96-N(G96),IF(D96="Dividend",I96-N(G96),I96+N(G96)))))</f>
        <v/>
      </c>
      <c r="K96" s="76">
        <f>IF(B96="","",DATE(YEAR(B96),MONTH(B96),1))</f>
        <v/>
      </c>
      <c r="L96" s="77">
        <f>IF(B96="","",YEAR(B96))</f>
        <v/>
      </c>
    </row>
    <row r="97" ht="19" customHeight="1">
      <c r="A97" s="69">
        <f>IF(B97="","",ROW()-5)</f>
        <v/>
      </c>
      <c r="B97" s="43" t="n">
        <v>45942</v>
      </c>
      <c r="C97" s="41" t="inlineStr">
        <is>
          <t>CONS</t>
        </is>
      </c>
      <c r="D97" s="41" t="inlineStr">
        <is>
          <t>Buy</t>
        </is>
      </c>
      <c r="E97" s="70" t="n">
        <v>14</v>
      </c>
      <c r="F97" s="71" t="n">
        <v>71.47</v>
      </c>
      <c r="G97" s="72" t="n">
        <v>1.5</v>
      </c>
      <c r="H97" s="73" t="n"/>
      <c r="I97" s="74">
        <f>IF(OR(E97="",F97=""),"",E97*F97)</f>
        <v/>
      </c>
      <c r="J97" s="75">
        <f>IF(I97="","",IF(D97="Buy",I97+N(G97),IF(D97="Sell",I97-N(G97),IF(D97="Dividend",I97-N(G97),I97+N(G97)))))</f>
        <v/>
      </c>
      <c r="K97" s="76">
        <f>IF(B97="","",DATE(YEAR(B97),MONTH(B97),1))</f>
        <v/>
      </c>
      <c r="L97" s="77">
        <f>IF(B97="","",YEAR(B97))</f>
        <v/>
      </c>
    </row>
    <row r="98" ht="19" customHeight="1">
      <c r="A98" s="69">
        <f>IF(B98="","",ROW()-5)</f>
        <v/>
      </c>
      <c r="B98" s="43" t="n">
        <v>45946</v>
      </c>
      <c r="C98" s="41" t="inlineStr">
        <is>
          <t>PROP</t>
        </is>
      </c>
      <c r="D98" s="41" t="inlineStr">
        <is>
          <t>Buy</t>
        </is>
      </c>
      <c r="E98" s="70" t="n">
        <v>6</v>
      </c>
      <c r="F98" s="71" t="n">
        <v>24.62</v>
      </c>
      <c r="G98" s="72" t="n">
        <v>1.5</v>
      </c>
      <c r="H98" s="73" t="n"/>
      <c r="I98" s="74">
        <f>IF(OR(E98="",F98=""),"",E98*F98)</f>
        <v/>
      </c>
      <c r="J98" s="75">
        <f>IF(I98="","",IF(D98="Buy",I98+N(G98),IF(D98="Sell",I98-N(G98),IF(D98="Dividend",I98-N(G98),I98+N(G98)))))</f>
        <v/>
      </c>
      <c r="K98" s="76">
        <f>IF(B98="","",DATE(YEAR(B98),MONTH(B98),1))</f>
        <v/>
      </c>
      <c r="L98" s="77">
        <f>IF(B98="","",YEAR(B98))</f>
        <v/>
      </c>
    </row>
    <row r="99" ht="19" customHeight="1">
      <c r="A99" s="69">
        <f>IF(B99="","",ROW()-5)</f>
        <v/>
      </c>
      <c r="B99" s="43" t="n">
        <v>45964</v>
      </c>
      <c r="C99" s="41" t="inlineStr">
        <is>
          <t>WRLD</t>
        </is>
      </c>
      <c r="D99" s="41" t="inlineStr">
        <is>
          <t>Buy</t>
        </is>
      </c>
      <c r="E99" s="70" t="n">
        <v>2.6987</v>
      </c>
      <c r="F99" s="71" t="n">
        <v>92.64</v>
      </c>
      <c r="G99" s="72" t="n">
        <v>1</v>
      </c>
      <c r="H99" s="73" t="n"/>
      <c r="I99" s="74">
        <f>IF(OR(E99="",F99=""),"",E99*F99)</f>
        <v/>
      </c>
      <c r="J99" s="75">
        <f>IF(I99="","",IF(D99="Buy",I99+N(G99),IF(D99="Sell",I99-N(G99),IF(D99="Dividend",I99-N(G99),I99+N(G99)))))</f>
        <v/>
      </c>
      <c r="K99" s="76">
        <f>IF(B99="","",DATE(YEAR(B99),MONTH(B99),1))</f>
        <v/>
      </c>
      <c r="L99" s="77">
        <f>IF(B99="","",YEAR(B99))</f>
        <v/>
      </c>
    </row>
    <row r="100" ht="19" customHeight="1">
      <c r="A100" s="69">
        <f>IF(B100="","",ROW()-5)</f>
        <v/>
      </c>
      <c r="B100" s="43" t="n">
        <v>45964</v>
      </c>
      <c r="C100" s="41" t="inlineStr">
        <is>
          <t>USMK</t>
        </is>
      </c>
      <c r="D100" s="41" t="inlineStr">
        <is>
          <t>Buy</t>
        </is>
      </c>
      <c r="E100" s="70" t="n">
        <v>1.7168</v>
      </c>
      <c r="F100" s="71" t="n">
        <v>116.5</v>
      </c>
      <c r="G100" s="72" t="n">
        <v>1</v>
      </c>
      <c r="H100" s="73" t="n"/>
      <c r="I100" s="74">
        <f>IF(OR(E100="",F100=""),"",E100*F100)</f>
        <v/>
      </c>
      <c r="J100" s="75">
        <f>IF(I100="","",IF(D100="Buy",I100+N(G100),IF(D100="Sell",I100-N(G100),IF(D100="Dividend",I100-N(G100),I100+N(G100)))))</f>
        <v/>
      </c>
      <c r="K100" s="76">
        <f>IF(B100="","",DATE(YEAR(B100),MONTH(B100),1))</f>
        <v/>
      </c>
      <c r="L100" s="77">
        <f>IF(B100="","",YEAR(B100))</f>
        <v/>
      </c>
    </row>
    <row r="101" ht="19" customHeight="1">
      <c r="A101" s="69">
        <f>IF(B101="","",ROW()-5)</f>
        <v/>
      </c>
      <c r="B101" s="43" t="n">
        <v>45964</v>
      </c>
      <c r="C101" s="41" t="inlineStr">
        <is>
          <t>AGGB</t>
        </is>
      </c>
      <c r="D101" s="41" t="inlineStr">
        <is>
          <t>Buy</t>
        </is>
      </c>
      <c r="E101" s="70" t="n">
        <v>2.4587</v>
      </c>
      <c r="F101" s="71" t="n">
        <v>61.01</v>
      </c>
      <c r="G101" s="72" t="n">
        <v>1</v>
      </c>
      <c r="H101" s="73" t="n"/>
      <c r="I101" s="74">
        <f>IF(OR(E101="",F101=""),"",E101*F101)</f>
        <v/>
      </c>
      <c r="J101" s="75">
        <f>IF(I101="","",IF(D101="Buy",I101+N(G101),IF(D101="Sell",I101-N(G101),IF(D101="Dividend",I101-N(G101),I101+N(G101)))))</f>
        <v/>
      </c>
      <c r="K101" s="76">
        <f>IF(B101="","",DATE(YEAR(B101),MONTH(B101),1))</f>
        <v/>
      </c>
      <c r="L101" s="77">
        <f>IF(B101="","",YEAR(B101))</f>
        <v/>
      </c>
    </row>
    <row r="102" ht="19" customHeight="1">
      <c r="A102" s="69">
        <f>IF(B102="","",ROW()-5)</f>
        <v/>
      </c>
      <c r="B102" s="43" t="n">
        <v>45964</v>
      </c>
      <c r="C102" s="41" t="inlineStr">
        <is>
          <t>EMKT</t>
        </is>
      </c>
      <c r="D102" s="41" t="inlineStr">
        <is>
          <t>Buy</t>
        </is>
      </c>
      <c r="E102" s="70" t="n">
        <v>2.0739</v>
      </c>
      <c r="F102" s="71" t="n">
        <v>48.22</v>
      </c>
      <c r="G102" s="72" t="n">
        <v>1</v>
      </c>
      <c r="H102" s="73" t="n"/>
      <c r="I102" s="74">
        <f>IF(OR(E102="",F102=""),"",E102*F102)</f>
        <v/>
      </c>
      <c r="J102" s="75">
        <f>IF(I102="","",IF(D102="Buy",I102+N(G102),IF(D102="Sell",I102-N(G102),IF(D102="Dividend",I102-N(G102),I102+N(G102)))))</f>
        <v/>
      </c>
      <c r="K102" s="76">
        <f>IF(B102="","",DATE(YEAR(B102),MONTH(B102),1))</f>
        <v/>
      </c>
      <c r="L102" s="77">
        <f>IF(B102="","",YEAR(B102))</f>
        <v/>
      </c>
    </row>
    <row r="103" ht="19" customHeight="1">
      <c r="A103" s="69">
        <f>IF(B103="","",ROW()-5)</f>
        <v/>
      </c>
      <c r="B103" s="43" t="n">
        <v>45973</v>
      </c>
      <c r="C103" s="41" t="inlineStr">
        <is>
          <t>GLDX</t>
        </is>
      </c>
      <c r="D103" s="41" t="inlineStr">
        <is>
          <t>Buy</t>
        </is>
      </c>
      <c r="E103" s="70" t="n">
        <v>4</v>
      </c>
      <c r="F103" s="71" t="n">
        <v>200.32</v>
      </c>
      <c r="G103" s="72" t="n">
        <v>1.5</v>
      </c>
      <c r="H103" s="73" t="n"/>
      <c r="I103" s="74">
        <f>IF(OR(E103="",F103=""),"",E103*F103)</f>
        <v/>
      </c>
      <c r="J103" s="75">
        <f>IF(I103="","",IF(D103="Buy",I103+N(G103),IF(D103="Sell",I103-N(G103),IF(D103="Dividend",I103-N(G103),I103+N(G103)))))</f>
        <v/>
      </c>
      <c r="K103" s="76">
        <f>IF(B103="","",DATE(YEAR(B103),MONTH(B103),1))</f>
        <v/>
      </c>
      <c r="L103" s="77">
        <f>IF(B103="","",YEAR(B103))</f>
        <v/>
      </c>
    </row>
    <row r="104" ht="19" customHeight="1">
      <c r="A104" s="69">
        <f>IF(B104="","",ROW()-5)</f>
        <v/>
      </c>
      <c r="B104" s="43" t="n">
        <v>45977</v>
      </c>
      <c r="C104" s="41" t="inlineStr">
        <is>
          <t>TECH</t>
        </is>
      </c>
      <c r="D104" s="41" t="inlineStr">
        <is>
          <t>Buy</t>
        </is>
      </c>
      <c r="E104" s="70" t="n">
        <v>3</v>
      </c>
      <c r="F104" s="71" t="n">
        <v>314.46</v>
      </c>
      <c r="G104" s="72" t="n">
        <v>1.5</v>
      </c>
      <c r="H104" s="73" t="n"/>
      <c r="I104" s="74">
        <f>IF(OR(E104="",F104=""),"",E104*F104)</f>
        <v/>
      </c>
      <c r="J104" s="75">
        <f>IF(I104="","",IF(D104="Buy",I104+N(G104),IF(D104="Sell",I104-N(G104),IF(D104="Dividend",I104-N(G104),I104+N(G104)))))</f>
        <v/>
      </c>
      <c r="K104" s="76">
        <f>IF(B104="","",DATE(YEAR(B104),MONTH(B104),1))</f>
        <v/>
      </c>
      <c r="L104" s="77">
        <f>IF(B104="","",YEAR(B104))</f>
        <v/>
      </c>
    </row>
    <row r="105" ht="19" customHeight="1">
      <c r="A105" s="69">
        <f>IF(B105="","",ROW()-5)</f>
        <v/>
      </c>
      <c r="B105" s="43" t="n">
        <v>45981</v>
      </c>
      <c r="C105" s="41" t="inlineStr">
        <is>
          <t>TECH</t>
        </is>
      </c>
      <c r="D105" s="41" t="inlineStr">
        <is>
          <t>Sell</t>
        </is>
      </c>
      <c r="E105" s="70" t="n">
        <v>4.2</v>
      </c>
      <c r="F105" s="71" t="n">
        <v>314.46</v>
      </c>
      <c r="G105" s="72" t="n">
        <v>1.5</v>
      </c>
      <c r="H105" s="73" t="n"/>
      <c r="I105" s="74">
        <f>IF(OR(E105="",F105=""),"",E105*F105)</f>
        <v/>
      </c>
      <c r="J105" s="75">
        <f>IF(I105="","",IF(D105="Buy",I105+N(G105),IF(D105="Sell",I105-N(G105),IF(D105="Dividend",I105-N(G105),I105+N(G105)))))</f>
        <v/>
      </c>
      <c r="K105" s="76">
        <f>IF(B105="","",DATE(YEAR(B105),MONTH(B105),1))</f>
        <v/>
      </c>
      <c r="L105" s="77">
        <f>IF(B105="","",YEAR(B105))</f>
        <v/>
      </c>
    </row>
    <row r="106" ht="19" customHeight="1">
      <c r="A106" s="69">
        <f>IF(B106="","",ROW()-5)</f>
        <v/>
      </c>
      <c r="B106" s="43" t="n">
        <v>45994</v>
      </c>
      <c r="C106" s="41" t="inlineStr">
        <is>
          <t>WRLD</t>
        </is>
      </c>
      <c r="D106" s="41" t="inlineStr">
        <is>
          <t>Buy</t>
        </is>
      </c>
      <c r="E106" s="70" t="n">
        <v>2.6264</v>
      </c>
      <c r="F106" s="71" t="n">
        <v>95.19</v>
      </c>
      <c r="G106" s="72" t="n">
        <v>1</v>
      </c>
      <c r="H106" s="73" t="n"/>
      <c r="I106" s="74">
        <f>IF(OR(E106="",F106=""),"",E106*F106)</f>
        <v/>
      </c>
      <c r="J106" s="75">
        <f>IF(I106="","",IF(D106="Buy",I106+N(G106),IF(D106="Sell",I106-N(G106),IF(D106="Dividend",I106-N(G106),I106+N(G106)))))</f>
        <v/>
      </c>
      <c r="K106" s="76">
        <f>IF(B106="","",DATE(YEAR(B106),MONTH(B106),1))</f>
        <v/>
      </c>
      <c r="L106" s="77">
        <f>IF(B106="","",YEAR(B106))</f>
        <v/>
      </c>
    </row>
    <row r="107" ht="19" customHeight="1">
      <c r="A107" s="69">
        <f>IF(B107="","",ROW()-5)</f>
        <v/>
      </c>
      <c r="B107" s="43" t="n">
        <v>45994</v>
      </c>
      <c r="C107" s="41" t="inlineStr">
        <is>
          <t>USMK</t>
        </is>
      </c>
      <c r="D107" s="41" t="inlineStr">
        <is>
          <t>Buy</t>
        </is>
      </c>
      <c r="E107" s="70" t="n">
        <v>1.7052</v>
      </c>
      <c r="F107" s="71" t="n">
        <v>117.29</v>
      </c>
      <c r="G107" s="72" t="n">
        <v>1</v>
      </c>
      <c r="H107" s="73" t="n"/>
      <c r="I107" s="74">
        <f>IF(OR(E107="",F107=""),"",E107*F107)</f>
        <v/>
      </c>
      <c r="J107" s="75">
        <f>IF(I107="","",IF(D107="Buy",I107+N(G107),IF(D107="Sell",I107-N(G107),IF(D107="Dividend",I107-N(G107),I107+N(G107)))))</f>
        <v/>
      </c>
      <c r="K107" s="76">
        <f>IF(B107="","",DATE(YEAR(B107),MONTH(B107),1))</f>
        <v/>
      </c>
      <c r="L107" s="77">
        <f>IF(B107="","",YEAR(B107))</f>
        <v/>
      </c>
    </row>
    <row r="108" ht="19" customHeight="1">
      <c r="A108" s="69">
        <f>IF(B108="","",ROW()-5)</f>
        <v/>
      </c>
      <c r="B108" s="43" t="n">
        <v>45994</v>
      </c>
      <c r="C108" s="41" t="inlineStr">
        <is>
          <t>AGGB</t>
        </is>
      </c>
      <c r="D108" s="41" t="inlineStr">
        <is>
          <t>Buy</t>
        </is>
      </c>
      <c r="E108" s="70" t="n">
        <v>2.3787</v>
      </c>
      <c r="F108" s="71" t="n">
        <v>63.06</v>
      </c>
      <c r="G108" s="72" t="n">
        <v>1</v>
      </c>
      <c r="H108" s="73" t="n"/>
      <c r="I108" s="74">
        <f>IF(OR(E108="",F108=""),"",E108*F108)</f>
        <v/>
      </c>
      <c r="J108" s="75">
        <f>IF(I108="","",IF(D108="Buy",I108+N(G108),IF(D108="Sell",I108-N(G108),IF(D108="Dividend",I108-N(G108),I108+N(G108)))))</f>
        <v/>
      </c>
      <c r="K108" s="76">
        <f>IF(B108="","",DATE(YEAR(B108),MONTH(B108),1))</f>
        <v/>
      </c>
      <c r="L108" s="77">
        <f>IF(B108="","",YEAR(B108))</f>
        <v/>
      </c>
    </row>
    <row r="109" ht="19" customHeight="1">
      <c r="A109" s="69">
        <f>IF(B109="","",ROW()-5)</f>
        <v/>
      </c>
      <c r="B109" s="43" t="n">
        <v>45994</v>
      </c>
      <c r="C109" s="41" t="inlineStr">
        <is>
          <t>EMKT</t>
        </is>
      </c>
      <c r="D109" s="41" t="inlineStr">
        <is>
          <t>Buy</t>
        </is>
      </c>
      <c r="E109" s="70" t="n">
        <v>2.0786</v>
      </c>
      <c r="F109" s="71" t="n">
        <v>48.11</v>
      </c>
      <c r="G109" s="72" t="n">
        <v>1</v>
      </c>
      <c r="H109" s="73" t="n"/>
      <c r="I109" s="74">
        <f>IF(OR(E109="",F109=""),"",E109*F109)</f>
        <v/>
      </c>
      <c r="J109" s="75">
        <f>IF(I109="","",IF(D109="Buy",I109+N(G109),IF(D109="Sell",I109-N(G109),IF(D109="Dividend",I109-N(G109),I109+N(G109)))))</f>
        <v/>
      </c>
      <c r="K109" s="76">
        <f>IF(B109="","",DATE(YEAR(B109),MONTH(B109),1))</f>
        <v/>
      </c>
      <c r="L109" s="77">
        <f>IF(B109="","",YEAR(B109))</f>
        <v/>
      </c>
    </row>
    <row r="110" ht="19" customHeight="1">
      <c r="A110" s="69">
        <f>IF(B110="","",ROW()-5)</f>
        <v/>
      </c>
      <c r="B110" s="43" t="n">
        <v>46003</v>
      </c>
      <c r="C110" s="41" t="inlineStr">
        <is>
          <t>BANK</t>
        </is>
      </c>
      <c r="D110" s="41" t="inlineStr">
        <is>
          <t>Buy</t>
        </is>
      </c>
      <c r="E110" s="70" t="n">
        <v>14</v>
      </c>
      <c r="F110" s="71" t="n">
        <v>74.55</v>
      </c>
      <c r="G110" s="72" t="n">
        <v>1.5</v>
      </c>
      <c r="H110" s="73" t="n"/>
      <c r="I110" s="74">
        <f>IF(OR(E110="",F110=""),"",E110*F110)</f>
        <v/>
      </c>
      <c r="J110" s="75">
        <f>IF(I110="","",IF(D110="Buy",I110+N(G110),IF(D110="Sell",I110-N(G110),IF(D110="Dividend",I110-N(G110),I110+N(G110)))))</f>
        <v/>
      </c>
      <c r="K110" s="76">
        <f>IF(B110="","",DATE(YEAR(B110),MONTH(B110),1))</f>
        <v/>
      </c>
      <c r="L110" s="77">
        <f>IF(B110="","",YEAR(B110))</f>
        <v/>
      </c>
    </row>
    <row r="111" ht="19" customHeight="1">
      <c r="A111" s="69">
        <f>IF(B111="","",ROW()-5)</f>
        <v/>
      </c>
      <c r="B111" s="43" t="n">
        <v>46007</v>
      </c>
      <c r="C111" s="41" t="inlineStr">
        <is>
          <t>HLTH</t>
        </is>
      </c>
      <c r="D111" s="41" t="inlineStr">
        <is>
          <t>Buy</t>
        </is>
      </c>
      <c r="E111" s="70" t="n">
        <v>3</v>
      </c>
      <c r="F111" s="71" t="n">
        <v>131.76</v>
      </c>
      <c r="G111" s="72" t="n">
        <v>1.5</v>
      </c>
      <c r="H111" s="73" t="n"/>
      <c r="I111" s="74">
        <f>IF(OR(E111="",F111=""),"",E111*F111)</f>
        <v/>
      </c>
      <c r="J111" s="75">
        <f>IF(I111="","",IF(D111="Buy",I111+N(G111),IF(D111="Sell",I111-N(G111),IF(D111="Dividend",I111-N(G111),I111+N(G111)))))</f>
        <v/>
      </c>
      <c r="K111" s="76">
        <f>IF(B111="","",DATE(YEAR(B111),MONTH(B111),1))</f>
        <v/>
      </c>
      <c r="L111" s="77">
        <f>IF(B111="","",YEAR(B111))</f>
        <v/>
      </c>
    </row>
    <row r="112" ht="19" customHeight="1">
      <c r="A112" s="69">
        <f>IF(B112="","",ROW()-5)</f>
        <v/>
      </c>
      <c r="B112" s="43" t="n">
        <v>46016</v>
      </c>
      <c r="C112" s="41" t="inlineStr">
        <is>
          <t>WRLD</t>
        </is>
      </c>
      <c r="D112" s="41" t="inlineStr">
        <is>
          <t>Dividend</t>
        </is>
      </c>
      <c r="E112" s="70" t="n">
        <v>32.1524</v>
      </c>
      <c r="F112" s="71" t="n">
        <v>0.41</v>
      </c>
      <c r="G112" s="72" t="n">
        <v>0</v>
      </c>
      <c r="H112" s="73" t="n"/>
      <c r="I112" s="74">
        <f>IF(OR(E112="",F112=""),"",E112*F112)</f>
        <v/>
      </c>
      <c r="J112" s="75">
        <f>IF(I112="","",IF(D112="Buy",I112+N(G112),IF(D112="Sell",I112-N(G112),IF(D112="Dividend",I112-N(G112),I112+N(G112)))))</f>
        <v/>
      </c>
      <c r="K112" s="76">
        <f>IF(B112="","",DATE(YEAR(B112),MONTH(B112),1))</f>
        <v/>
      </c>
      <c r="L112" s="77">
        <f>IF(B112="","",YEAR(B112))</f>
        <v/>
      </c>
    </row>
    <row r="113" ht="19" customHeight="1">
      <c r="A113" s="69">
        <f>IF(B113="","",ROW()-5)</f>
        <v/>
      </c>
      <c r="B113" s="43" t="n">
        <v>46016</v>
      </c>
      <c r="C113" s="41" t="inlineStr">
        <is>
          <t>USMK</t>
        </is>
      </c>
      <c r="D113" s="41" t="inlineStr">
        <is>
          <t>Dividend</t>
        </is>
      </c>
      <c r="E113" s="70" t="n">
        <v>19.3174</v>
      </c>
      <c r="F113" s="71" t="n">
        <v>0.38</v>
      </c>
      <c r="G113" s="72" t="n">
        <v>0</v>
      </c>
      <c r="H113" s="73" t="n"/>
      <c r="I113" s="74">
        <f>IF(OR(E113="",F113=""),"",E113*F113)</f>
        <v/>
      </c>
      <c r="J113" s="75">
        <f>IF(I113="","",IF(D113="Buy",I113+N(G113),IF(D113="Sell",I113-N(G113),IF(D113="Dividend",I113-N(G113),I113+N(G113)))))</f>
        <v/>
      </c>
      <c r="K113" s="76">
        <f>IF(B113="","",DATE(YEAR(B113),MONTH(B113),1))</f>
        <v/>
      </c>
      <c r="L113" s="77">
        <f>IF(B113="","",YEAR(B113))</f>
        <v/>
      </c>
    </row>
    <row r="114" ht="19" customHeight="1">
      <c r="A114" s="69">
        <f>IF(B114="","",ROW()-5)</f>
        <v/>
      </c>
      <c r="B114" s="43" t="n">
        <v>46016</v>
      </c>
      <c r="C114" s="41" t="inlineStr">
        <is>
          <t>EMKT</t>
        </is>
      </c>
      <c r="D114" s="41" t="inlineStr">
        <is>
          <t>Dividend</t>
        </is>
      </c>
      <c r="E114" s="70" t="n">
        <v>27.1851</v>
      </c>
      <c r="F114" s="71" t="n">
        <v>0.32</v>
      </c>
      <c r="G114" s="72" t="n">
        <v>0</v>
      </c>
      <c r="H114" s="73" t="n"/>
      <c r="I114" s="74">
        <f>IF(OR(E114="",F114=""),"",E114*F114)</f>
        <v/>
      </c>
      <c r="J114" s="75">
        <f>IF(I114="","",IF(D114="Buy",I114+N(G114),IF(D114="Sell",I114-N(G114),IF(D114="Dividend",I114-N(G114),I114+N(G114)))))</f>
        <v/>
      </c>
      <c r="K114" s="76">
        <f>IF(B114="","",DATE(YEAR(B114),MONTH(B114),1))</f>
        <v/>
      </c>
      <c r="L114" s="77">
        <f>IF(B114="","",YEAR(B114))</f>
        <v/>
      </c>
    </row>
    <row r="115" ht="19" customHeight="1">
      <c r="A115" s="69">
        <f>IF(B115="","",ROW()-5)</f>
        <v/>
      </c>
      <c r="B115" s="43" t="n">
        <v>46016</v>
      </c>
      <c r="C115" s="41" t="inlineStr">
        <is>
          <t>AGGB</t>
        </is>
      </c>
      <c r="D115" s="41" t="inlineStr">
        <is>
          <t>Dividend</t>
        </is>
      </c>
      <c r="E115" s="70" t="n">
        <v>33.5291</v>
      </c>
      <c r="F115" s="71" t="n">
        <v>0.44</v>
      </c>
      <c r="G115" s="72" t="n">
        <v>0</v>
      </c>
      <c r="H115" s="73" t="n"/>
      <c r="I115" s="74">
        <f>IF(OR(E115="",F115=""),"",E115*F115)</f>
        <v/>
      </c>
      <c r="J115" s="75">
        <f>IF(I115="","",IF(D115="Buy",I115+N(G115),IF(D115="Sell",I115-N(G115),IF(D115="Dividend",I115-N(G115),I115+N(G115)))))</f>
        <v/>
      </c>
      <c r="K115" s="76">
        <f>IF(B115="","",DATE(YEAR(B115),MONTH(B115),1))</f>
        <v/>
      </c>
      <c r="L115" s="77">
        <f>IF(B115="","",YEAR(B115))</f>
        <v/>
      </c>
    </row>
    <row r="116" ht="19" customHeight="1">
      <c r="A116" s="69">
        <f>IF(B116="","",ROW()-5)</f>
        <v/>
      </c>
      <c r="B116" s="43" t="n">
        <v>46016</v>
      </c>
      <c r="C116" s="41" t="inlineStr">
        <is>
          <t>TECH</t>
        </is>
      </c>
      <c r="D116" s="41" t="inlineStr">
        <is>
          <t>Dividend</t>
        </is>
      </c>
      <c r="E116" s="70" t="n">
        <v>9.800000000000001</v>
      </c>
      <c r="F116" s="71" t="n">
        <v>0.24</v>
      </c>
      <c r="G116" s="72" t="n">
        <v>0</v>
      </c>
      <c r="H116" s="73" t="n"/>
      <c r="I116" s="74">
        <f>IF(OR(E116="",F116=""),"",E116*F116)</f>
        <v/>
      </c>
      <c r="J116" s="75">
        <f>IF(I116="","",IF(D116="Buy",I116+N(G116),IF(D116="Sell",I116-N(G116),IF(D116="Dividend",I116-N(G116),I116+N(G116)))))</f>
        <v/>
      </c>
      <c r="K116" s="76">
        <f>IF(B116="","",DATE(YEAR(B116),MONTH(B116),1))</f>
        <v/>
      </c>
      <c r="L116" s="77">
        <f>IF(B116="","",YEAR(B116))</f>
        <v/>
      </c>
    </row>
    <row r="117" ht="19" customHeight="1">
      <c r="A117" s="69">
        <f>IF(B117="","",ROW()-5)</f>
        <v/>
      </c>
      <c r="B117" s="43" t="n">
        <v>46016</v>
      </c>
      <c r="C117" s="41" t="inlineStr">
        <is>
          <t>BANK</t>
        </is>
      </c>
      <c r="D117" s="41" t="inlineStr">
        <is>
          <t>Dividend</t>
        </is>
      </c>
      <c r="E117" s="70" t="n">
        <v>44</v>
      </c>
      <c r="F117" s="71" t="n">
        <v>0.57</v>
      </c>
      <c r="G117" s="72" t="n">
        <v>0</v>
      </c>
      <c r="H117" s="73" t="n"/>
      <c r="I117" s="74">
        <f>IF(OR(E117="",F117=""),"",E117*F117)</f>
        <v/>
      </c>
      <c r="J117" s="75">
        <f>IF(I117="","",IF(D117="Buy",I117+N(G117),IF(D117="Sell",I117-N(G117),IF(D117="Dividend",I117-N(G117),I117+N(G117)))))</f>
        <v/>
      </c>
      <c r="K117" s="76">
        <f>IF(B117="","",DATE(YEAR(B117),MONTH(B117),1))</f>
        <v/>
      </c>
      <c r="L117" s="77">
        <f>IF(B117="","",YEAR(B117))</f>
        <v/>
      </c>
    </row>
    <row r="118" ht="19" customHeight="1">
      <c r="A118" s="69">
        <f>IF(B118="","",ROW()-5)</f>
        <v/>
      </c>
      <c r="B118" s="43" t="n">
        <v>46016</v>
      </c>
      <c r="C118" s="41" t="inlineStr">
        <is>
          <t>HLTH</t>
        </is>
      </c>
      <c r="D118" s="41" t="inlineStr">
        <is>
          <t>Dividend</t>
        </is>
      </c>
      <c r="E118" s="70" t="n">
        <v>21</v>
      </c>
      <c r="F118" s="71" t="n">
        <v>0.85</v>
      </c>
      <c r="G118" s="72" t="n">
        <v>0</v>
      </c>
      <c r="H118" s="73" t="n"/>
      <c r="I118" s="74">
        <f>IF(OR(E118="",F118=""),"",E118*F118)</f>
        <v/>
      </c>
      <c r="J118" s="75">
        <f>IF(I118="","",IF(D118="Buy",I118+N(G118),IF(D118="Sell",I118-N(G118),IF(D118="Dividend",I118-N(G118),I118+N(G118)))))</f>
        <v/>
      </c>
      <c r="K118" s="76">
        <f>IF(B118="","",DATE(YEAR(B118),MONTH(B118),1))</f>
        <v/>
      </c>
      <c r="L118" s="77">
        <f>IF(B118="","",YEAR(B118))</f>
        <v/>
      </c>
    </row>
    <row r="119" ht="19" customHeight="1">
      <c r="A119" s="69">
        <f>IF(B119="","",ROW()-5)</f>
        <v/>
      </c>
      <c r="B119" s="43" t="n">
        <v>46016</v>
      </c>
      <c r="C119" s="41" t="inlineStr">
        <is>
          <t>ENRG</t>
        </is>
      </c>
      <c r="D119" s="41" t="inlineStr">
        <is>
          <t>Dividend</t>
        </is>
      </c>
      <c r="E119" s="70" t="n">
        <v>30</v>
      </c>
      <c r="F119" s="71" t="n">
        <v>0.38</v>
      </c>
      <c r="G119" s="72" t="n">
        <v>0</v>
      </c>
      <c r="H119" s="73" t="n"/>
      <c r="I119" s="74">
        <f>IF(OR(E119="",F119=""),"",E119*F119)</f>
        <v/>
      </c>
      <c r="J119" s="75">
        <f>IF(I119="","",IF(D119="Buy",I119+N(G119),IF(D119="Sell",I119-N(G119),IF(D119="Dividend",I119-N(G119),I119+N(G119)))))</f>
        <v/>
      </c>
      <c r="K119" s="76">
        <f>IF(B119="","",DATE(YEAR(B119),MONTH(B119),1))</f>
        <v/>
      </c>
      <c r="L119" s="77">
        <f>IF(B119="","",YEAR(B119))</f>
        <v/>
      </c>
    </row>
    <row r="120" ht="19" customHeight="1">
      <c r="A120" s="69">
        <f>IF(B120="","",ROW()-5)</f>
        <v/>
      </c>
      <c r="B120" s="43" t="n">
        <v>46016</v>
      </c>
      <c r="C120" s="41" t="inlineStr">
        <is>
          <t>CONS</t>
        </is>
      </c>
      <c r="D120" s="41" t="inlineStr">
        <is>
          <t>Dividend</t>
        </is>
      </c>
      <c r="E120" s="70" t="n">
        <v>34</v>
      </c>
      <c r="F120" s="71" t="n">
        <v>0.63</v>
      </c>
      <c r="G120" s="72" t="n">
        <v>0</v>
      </c>
      <c r="H120" s="73" t="n"/>
      <c r="I120" s="74">
        <f>IF(OR(E120="",F120=""),"",E120*F120)</f>
        <v/>
      </c>
      <c r="J120" s="75">
        <f>IF(I120="","",IF(D120="Buy",I120+N(G120),IF(D120="Sell",I120-N(G120),IF(D120="Dividend",I120-N(G120),I120+N(G120)))))</f>
        <v/>
      </c>
      <c r="K120" s="76">
        <f>IF(B120="","",DATE(YEAR(B120),MONTH(B120),1))</f>
        <v/>
      </c>
      <c r="L120" s="77">
        <f>IF(B120="","",YEAR(B120))</f>
        <v/>
      </c>
    </row>
    <row r="121" ht="19" customHeight="1">
      <c r="A121" s="69">
        <f>IF(B121="","",ROW()-5)</f>
        <v/>
      </c>
      <c r="B121" s="43" t="n">
        <v>46016</v>
      </c>
      <c r="C121" s="41" t="inlineStr">
        <is>
          <t>PROP</t>
        </is>
      </c>
      <c r="D121" s="41" t="inlineStr">
        <is>
          <t>Dividend</t>
        </is>
      </c>
      <c r="E121" s="70" t="n">
        <v>26</v>
      </c>
      <c r="F121" s="71" t="n">
        <v>0.41</v>
      </c>
      <c r="G121" s="72" t="n">
        <v>0</v>
      </c>
      <c r="H121" s="73" t="n"/>
      <c r="I121" s="74">
        <f>IF(OR(E121="",F121=""),"",E121*F121)</f>
        <v/>
      </c>
      <c r="J121" s="75">
        <f>IF(I121="","",IF(D121="Buy",I121+N(G121),IF(D121="Sell",I121-N(G121),IF(D121="Dividend",I121-N(G121),I121+N(G121)))))</f>
        <v/>
      </c>
      <c r="K121" s="76">
        <f>IF(B121="","",DATE(YEAR(B121),MONTH(B121),1))</f>
        <v/>
      </c>
      <c r="L121" s="77">
        <f>IF(B121="","",YEAR(B121))</f>
        <v/>
      </c>
    </row>
    <row r="122" ht="19" customHeight="1">
      <c r="A122" s="69">
        <f>IF(B122="","",ROW()-5)</f>
        <v/>
      </c>
      <c r="B122" s="43" t="n">
        <v>46025</v>
      </c>
      <c r="C122" s="41" t="inlineStr">
        <is>
          <t>WRLD</t>
        </is>
      </c>
      <c r="D122" s="41" t="inlineStr">
        <is>
          <t>Buy</t>
        </is>
      </c>
      <c r="E122" s="70" t="n">
        <v>2.437</v>
      </c>
      <c r="F122" s="71" t="n">
        <v>102.59</v>
      </c>
      <c r="G122" s="72" t="n">
        <v>1</v>
      </c>
      <c r="H122" s="73" t="n"/>
      <c r="I122" s="74">
        <f>IF(OR(E122="",F122=""),"",E122*F122)</f>
        <v/>
      </c>
      <c r="J122" s="75">
        <f>IF(I122="","",IF(D122="Buy",I122+N(G122),IF(D122="Sell",I122-N(G122),IF(D122="Dividend",I122-N(G122),I122+N(G122)))))</f>
        <v/>
      </c>
      <c r="K122" s="76">
        <f>IF(B122="","",DATE(YEAR(B122),MONTH(B122),1))</f>
        <v/>
      </c>
      <c r="L122" s="77">
        <f>IF(B122="","",YEAR(B122))</f>
        <v/>
      </c>
    </row>
    <row r="123" ht="19" customHeight="1">
      <c r="A123" s="69">
        <f>IF(B123="","",ROW()-5)</f>
        <v/>
      </c>
      <c r="B123" s="43" t="n">
        <v>46025</v>
      </c>
      <c r="C123" s="41" t="inlineStr">
        <is>
          <t>USMK</t>
        </is>
      </c>
      <c r="D123" s="41" t="inlineStr">
        <is>
          <t>Buy</t>
        </is>
      </c>
      <c r="E123" s="70" t="n">
        <v>1.7543</v>
      </c>
      <c r="F123" s="71" t="n">
        <v>114.01</v>
      </c>
      <c r="G123" s="72" t="n">
        <v>1</v>
      </c>
      <c r="H123" s="73" t="n"/>
      <c r="I123" s="74">
        <f>IF(OR(E123="",F123=""),"",E123*F123)</f>
        <v/>
      </c>
      <c r="J123" s="75">
        <f>IF(I123="","",IF(D123="Buy",I123+N(G123),IF(D123="Sell",I123-N(G123),IF(D123="Dividend",I123-N(G123),I123+N(G123)))))</f>
        <v/>
      </c>
      <c r="K123" s="76">
        <f>IF(B123="","",DATE(YEAR(B123),MONTH(B123),1))</f>
        <v/>
      </c>
      <c r="L123" s="77">
        <f>IF(B123="","",YEAR(B123))</f>
        <v/>
      </c>
    </row>
    <row r="124" ht="19" customHeight="1">
      <c r="A124" s="69">
        <f>IF(B124="","",ROW()-5)</f>
        <v/>
      </c>
      <c r="B124" s="43" t="n">
        <v>46025</v>
      </c>
      <c r="C124" s="41" t="inlineStr">
        <is>
          <t>AGGB</t>
        </is>
      </c>
      <c r="D124" s="41" t="inlineStr">
        <is>
          <t>Buy</t>
        </is>
      </c>
      <c r="E124" s="70" t="n">
        <v>2.3552</v>
      </c>
      <c r="F124" s="71" t="n">
        <v>63.69</v>
      </c>
      <c r="G124" s="72" t="n">
        <v>1</v>
      </c>
      <c r="H124" s="73" t="n"/>
      <c r="I124" s="74">
        <f>IF(OR(E124="",F124=""),"",E124*F124)</f>
        <v/>
      </c>
      <c r="J124" s="75">
        <f>IF(I124="","",IF(D124="Buy",I124+N(G124),IF(D124="Sell",I124-N(G124),IF(D124="Dividend",I124-N(G124),I124+N(G124)))))</f>
        <v/>
      </c>
      <c r="K124" s="76">
        <f>IF(B124="","",DATE(YEAR(B124),MONTH(B124),1))</f>
        <v/>
      </c>
      <c r="L124" s="77">
        <f>IF(B124="","",YEAR(B124))</f>
        <v/>
      </c>
    </row>
    <row r="125" ht="19" customHeight="1">
      <c r="A125" s="69">
        <f>IF(B125="","",ROW()-5)</f>
        <v/>
      </c>
      <c r="B125" s="43" t="n">
        <v>46025</v>
      </c>
      <c r="C125" s="41" t="inlineStr">
        <is>
          <t>EMKT</t>
        </is>
      </c>
      <c r="D125" s="41" t="inlineStr">
        <is>
          <t>Buy</t>
        </is>
      </c>
      <c r="E125" s="70" t="n">
        <v>1.9572</v>
      </c>
      <c r="F125" s="71" t="n">
        <v>51.09</v>
      </c>
      <c r="G125" s="72" t="n">
        <v>1</v>
      </c>
      <c r="H125" s="73" t="n"/>
      <c r="I125" s="74">
        <f>IF(OR(E125="",F125=""),"",E125*F125)</f>
        <v/>
      </c>
      <c r="J125" s="75">
        <f>IF(I125="","",IF(D125="Buy",I125+N(G125),IF(D125="Sell",I125-N(G125),IF(D125="Dividend",I125-N(G125),I125+N(G125)))))</f>
        <v/>
      </c>
      <c r="K125" s="76">
        <f>IF(B125="","",DATE(YEAR(B125),MONTH(B125),1))</f>
        <v/>
      </c>
      <c r="L125" s="77">
        <f>IF(B125="","",YEAR(B125))</f>
        <v/>
      </c>
    </row>
    <row r="126" ht="19" customHeight="1">
      <c r="A126" s="69">
        <f>IF(B126="","",ROW()-5)</f>
        <v/>
      </c>
      <c r="B126" s="43" t="n">
        <v>46034</v>
      </c>
      <c r="C126" s="41" t="inlineStr">
        <is>
          <t>ENRG</t>
        </is>
      </c>
      <c r="D126" s="41" t="inlineStr">
        <is>
          <t>Buy</t>
        </is>
      </c>
      <c r="E126" s="70" t="n">
        <v>14</v>
      </c>
      <c r="F126" s="71" t="n">
        <v>41.66</v>
      </c>
      <c r="G126" s="72" t="n">
        <v>1.5</v>
      </c>
      <c r="H126" s="73" t="n"/>
      <c r="I126" s="74">
        <f>IF(OR(E126="",F126=""),"",E126*F126)</f>
        <v/>
      </c>
      <c r="J126" s="75">
        <f>IF(I126="","",IF(D126="Buy",I126+N(G126),IF(D126="Sell",I126-N(G126),IF(D126="Dividend",I126-N(G126),I126+N(G126)))))</f>
        <v/>
      </c>
      <c r="K126" s="76">
        <f>IF(B126="","",DATE(YEAR(B126),MONTH(B126),1))</f>
        <v/>
      </c>
      <c r="L126" s="77">
        <f>IF(B126="","",YEAR(B126))</f>
        <v/>
      </c>
    </row>
    <row r="127" ht="19" customHeight="1">
      <c r="A127" s="69">
        <f>IF(B127="","",ROW()-5)</f>
        <v/>
      </c>
      <c r="B127" s="43" t="n">
        <v>46038</v>
      </c>
      <c r="C127" s="41" t="inlineStr">
        <is>
          <t>CONS</t>
        </is>
      </c>
      <c r="D127" s="41" t="inlineStr">
        <is>
          <t>Buy</t>
        </is>
      </c>
      <c r="E127" s="70" t="n">
        <v>20</v>
      </c>
      <c r="F127" s="71" t="n">
        <v>78.41</v>
      </c>
      <c r="G127" s="72" t="n">
        <v>1.5</v>
      </c>
      <c r="H127" s="73" t="n"/>
      <c r="I127" s="74">
        <f>IF(OR(E127="",F127=""),"",E127*F127)</f>
        <v/>
      </c>
      <c r="J127" s="75">
        <f>IF(I127="","",IF(D127="Buy",I127+N(G127),IF(D127="Sell",I127-N(G127),IF(D127="Dividend",I127-N(G127),I127+N(G127)))))</f>
        <v/>
      </c>
      <c r="K127" s="76">
        <f>IF(B127="","",DATE(YEAR(B127),MONTH(B127),1))</f>
        <v/>
      </c>
      <c r="L127" s="77">
        <f>IF(B127="","",YEAR(B127))</f>
        <v/>
      </c>
    </row>
    <row r="128" ht="19" customHeight="1">
      <c r="A128" s="69">
        <f>IF(B128="","",ROW()-5)</f>
        <v/>
      </c>
      <c r="B128" s="43" t="n">
        <v>46056</v>
      </c>
      <c r="C128" s="41" t="inlineStr">
        <is>
          <t>WRLD</t>
        </is>
      </c>
      <c r="D128" s="41" t="inlineStr">
        <is>
          <t>Buy</t>
        </is>
      </c>
      <c r="E128" s="70" t="n">
        <v>2.318</v>
      </c>
      <c r="F128" s="71" t="n">
        <v>107.85</v>
      </c>
      <c r="G128" s="72" t="n">
        <v>1</v>
      </c>
      <c r="H128" s="73" t="n"/>
      <c r="I128" s="74">
        <f>IF(OR(E128="",F128=""),"",E128*F128)</f>
        <v/>
      </c>
      <c r="J128" s="75">
        <f>IF(I128="","",IF(D128="Buy",I128+N(G128),IF(D128="Sell",I128-N(G128),IF(D128="Dividend",I128-N(G128),I128+N(G128)))))</f>
        <v/>
      </c>
      <c r="K128" s="76">
        <f>IF(B128="","",DATE(YEAR(B128),MONTH(B128),1))</f>
        <v/>
      </c>
      <c r="L128" s="77">
        <f>IF(B128="","",YEAR(B128))</f>
        <v/>
      </c>
    </row>
    <row r="129" ht="19" customHeight="1">
      <c r="A129" s="69">
        <f>IF(B129="","",ROW()-5)</f>
        <v/>
      </c>
      <c r="B129" s="43" t="n">
        <v>46056</v>
      </c>
      <c r="C129" s="41" t="inlineStr">
        <is>
          <t>USMK</t>
        </is>
      </c>
      <c r="D129" s="41" t="inlineStr">
        <is>
          <t>Buy</t>
        </is>
      </c>
      <c r="E129" s="70" t="n">
        <v>1.7259</v>
      </c>
      <c r="F129" s="71" t="n">
        <v>115.88</v>
      </c>
      <c r="G129" s="72" t="n">
        <v>1</v>
      </c>
      <c r="H129" s="73" t="n"/>
      <c r="I129" s="74">
        <f>IF(OR(E129="",F129=""),"",E129*F129)</f>
        <v/>
      </c>
      <c r="J129" s="75">
        <f>IF(I129="","",IF(D129="Buy",I129+N(G129),IF(D129="Sell",I129-N(G129),IF(D129="Dividend",I129-N(G129),I129+N(G129)))))</f>
        <v/>
      </c>
      <c r="K129" s="76">
        <f>IF(B129="","",DATE(YEAR(B129),MONTH(B129),1))</f>
        <v/>
      </c>
      <c r="L129" s="77">
        <f>IF(B129="","",YEAR(B129))</f>
        <v/>
      </c>
    </row>
    <row r="130" ht="19" customHeight="1">
      <c r="A130" s="69">
        <f>IF(B130="","",ROW()-5)</f>
        <v/>
      </c>
      <c r="B130" s="43" t="n">
        <v>46056</v>
      </c>
      <c r="C130" s="41" t="inlineStr">
        <is>
          <t>AGGB</t>
        </is>
      </c>
      <c r="D130" s="41" t="inlineStr">
        <is>
          <t>Buy</t>
        </is>
      </c>
      <c r="E130" s="70" t="n">
        <v>2.2711</v>
      </c>
      <c r="F130" s="71" t="n">
        <v>66.05</v>
      </c>
      <c r="G130" s="72" t="n">
        <v>1</v>
      </c>
      <c r="H130" s="73" t="n"/>
      <c r="I130" s="74">
        <f>IF(OR(E130="",F130=""),"",E130*F130)</f>
        <v/>
      </c>
      <c r="J130" s="75">
        <f>IF(I130="","",IF(D130="Buy",I130+N(G130),IF(D130="Sell",I130-N(G130),IF(D130="Dividend",I130-N(G130),I130+N(G130)))))</f>
        <v/>
      </c>
      <c r="K130" s="76">
        <f>IF(B130="","",DATE(YEAR(B130),MONTH(B130),1))</f>
        <v/>
      </c>
      <c r="L130" s="77">
        <f>IF(B130="","",YEAR(B130))</f>
        <v/>
      </c>
    </row>
    <row r="131" ht="19" customHeight="1">
      <c r="A131" s="69">
        <f>IF(B131="","",ROW()-5)</f>
        <v/>
      </c>
      <c r="B131" s="43" t="n">
        <v>46056</v>
      </c>
      <c r="C131" s="41" t="inlineStr">
        <is>
          <t>EMKT</t>
        </is>
      </c>
      <c r="D131" s="41" t="inlineStr">
        <is>
          <t>Buy</t>
        </is>
      </c>
      <c r="E131" s="70" t="n">
        <v>1.8966</v>
      </c>
      <c r="F131" s="71" t="n">
        <v>52.72</v>
      </c>
      <c r="G131" s="72" t="n">
        <v>1</v>
      </c>
      <c r="H131" s="73" t="n"/>
      <c r="I131" s="74">
        <f>IF(OR(E131="",F131=""),"",E131*F131)</f>
        <v/>
      </c>
      <c r="J131" s="75">
        <f>IF(I131="","",IF(D131="Buy",I131+N(G131),IF(D131="Sell",I131-N(G131),IF(D131="Dividend",I131-N(G131),I131+N(G131)))))</f>
        <v/>
      </c>
      <c r="K131" s="76">
        <f>IF(B131="","",DATE(YEAR(B131),MONTH(B131),1))</f>
        <v/>
      </c>
      <c r="L131" s="77">
        <f>IF(B131="","",YEAR(B131))</f>
        <v/>
      </c>
    </row>
    <row r="132" ht="19" customHeight="1">
      <c r="A132" s="69">
        <f>IF(B132="","",ROW()-5)</f>
        <v/>
      </c>
      <c r="B132" s="43" t="n">
        <v>46065</v>
      </c>
      <c r="C132" s="41" t="inlineStr">
        <is>
          <t>PROP</t>
        </is>
      </c>
      <c r="D132" s="41" t="inlineStr">
        <is>
          <t>Buy</t>
        </is>
      </c>
      <c r="E132" s="70" t="n">
        <v>6</v>
      </c>
      <c r="F132" s="71" t="n">
        <v>26.2</v>
      </c>
      <c r="G132" s="72" t="n">
        <v>1.5</v>
      </c>
      <c r="H132" s="73" t="n"/>
      <c r="I132" s="74">
        <f>IF(OR(E132="",F132=""),"",E132*F132)</f>
        <v/>
      </c>
      <c r="J132" s="75">
        <f>IF(I132="","",IF(D132="Buy",I132+N(G132),IF(D132="Sell",I132-N(G132),IF(D132="Dividend",I132-N(G132),I132+N(G132)))))</f>
        <v/>
      </c>
      <c r="K132" s="76">
        <f>IF(B132="","",DATE(YEAR(B132),MONTH(B132),1))</f>
        <v/>
      </c>
      <c r="L132" s="77">
        <f>IF(B132="","",YEAR(B132))</f>
        <v/>
      </c>
    </row>
    <row r="133" ht="19" customHeight="1">
      <c r="A133" s="69">
        <f>IF(B133="","",ROW()-5)</f>
        <v/>
      </c>
      <c r="B133" s="43" t="n">
        <v>46069</v>
      </c>
      <c r="C133" s="41" t="inlineStr">
        <is>
          <t>GLDX</t>
        </is>
      </c>
      <c r="D133" s="41" t="inlineStr">
        <is>
          <t>Buy</t>
        </is>
      </c>
      <c r="E133" s="70" t="n">
        <v>4</v>
      </c>
      <c r="F133" s="71" t="n">
        <v>202.27</v>
      </c>
      <c r="G133" s="72" t="n">
        <v>1.5</v>
      </c>
      <c r="H133" s="73" t="n"/>
      <c r="I133" s="74">
        <f>IF(OR(E133="",F133=""),"",E133*F133)</f>
        <v/>
      </c>
      <c r="J133" s="75">
        <f>IF(I133="","",IF(D133="Buy",I133+N(G133),IF(D133="Sell",I133-N(G133),IF(D133="Dividend",I133-N(G133),I133+N(G133)))))</f>
        <v/>
      </c>
      <c r="K133" s="76">
        <f>IF(B133="","",DATE(YEAR(B133),MONTH(B133),1))</f>
        <v/>
      </c>
      <c r="L133" s="77">
        <f>IF(B133="","",YEAR(B133))</f>
        <v/>
      </c>
    </row>
    <row r="134" ht="19" customHeight="1">
      <c r="A134" s="69">
        <f>IF(B134="","",ROW()-5)</f>
        <v/>
      </c>
      <c r="B134" s="43" t="n">
        <v>46071</v>
      </c>
      <c r="C134" s="41" t="inlineStr">
        <is>
          <t>BTC</t>
        </is>
      </c>
      <c r="D134" s="41" t="inlineStr">
        <is>
          <t>Buy</t>
        </is>
      </c>
      <c r="E134" s="70" t="n">
        <v>0.006</v>
      </c>
      <c r="F134" s="71" t="n">
        <v>50320.29</v>
      </c>
      <c r="G134" s="72" t="n">
        <v>3</v>
      </c>
      <c r="H134" s="73" t="n"/>
      <c r="I134" s="74">
        <f>IF(OR(E134="",F134=""),"",E134*F134)</f>
        <v/>
      </c>
      <c r="J134" s="75">
        <f>IF(I134="","",IF(D134="Buy",I134+N(G134),IF(D134="Sell",I134-N(G134),IF(D134="Dividend",I134-N(G134),I134+N(G134)))))</f>
        <v/>
      </c>
      <c r="K134" s="76">
        <f>IF(B134="","",DATE(YEAR(B134),MONTH(B134),1))</f>
        <v/>
      </c>
      <c r="L134" s="77">
        <f>IF(B134="","",YEAR(B134))</f>
        <v/>
      </c>
    </row>
    <row r="135" ht="19" customHeight="1">
      <c r="A135" s="69">
        <f>IF(B135="","",ROW()-5)</f>
        <v/>
      </c>
      <c r="B135" s="43" t="n">
        <v>46084</v>
      </c>
      <c r="C135" s="41" t="inlineStr">
        <is>
          <t>WRLD</t>
        </is>
      </c>
      <c r="D135" s="41" t="inlineStr">
        <is>
          <t>Buy</t>
        </is>
      </c>
      <c r="E135" s="70" t="n">
        <v>2.3151</v>
      </c>
      <c r="F135" s="71" t="n">
        <v>107.99</v>
      </c>
      <c r="G135" s="72" t="n">
        <v>1</v>
      </c>
      <c r="H135" s="73" t="n"/>
      <c r="I135" s="74">
        <f>IF(OR(E135="",F135=""),"",E135*F135)</f>
        <v/>
      </c>
      <c r="J135" s="75">
        <f>IF(I135="","",IF(D135="Buy",I135+N(G135),IF(D135="Sell",I135-N(G135),IF(D135="Dividend",I135-N(G135),I135+N(G135)))))</f>
        <v/>
      </c>
      <c r="K135" s="76">
        <f>IF(B135="","",DATE(YEAR(B135),MONTH(B135),1))</f>
        <v/>
      </c>
      <c r="L135" s="77">
        <f>IF(B135="","",YEAR(B135))</f>
        <v/>
      </c>
    </row>
    <row r="136" ht="19" customHeight="1">
      <c r="A136" s="69">
        <f>IF(B136="","",ROW()-5)</f>
        <v/>
      </c>
      <c r="B136" s="43" t="n">
        <v>46084</v>
      </c>
      <c r="C136" s="41" t="inlineStr">
        <is>
          <t>USMK</t>
        </is>
      </c>
      <c r="D136" s="41" t="inlineStr">
        <is>
          <t>Buy</t>
        </is>
      </c>
      <c r="E136" s="70" t="n">
        <v>1.4778</v>
      </c>
      <c r="F136" s="71" t="n">
        <v>135.33</v>
      </c>
      <c r="G136" s="72" t="n">
        <v>1</v>
      </c>
      <c r="H136" s="73" t="n"/>
      <c r="I136" s="74">
        <f>IF(OR(E136="",F136=""),"",E136*F136)</f>
        <v/>
      </c>
      <c r="J136" s="75">
        <f>IF(I136="","",IF(D136="Buy",I136+N(G136),IF(D136="Sell",I136-N(G136),IF(D136="Dividend",I136-N(G136),I136+N(G136)))))</f>
        <v/>
      </c>
      <c r="K136" s="76">
        <f>IF(B136="","",DATE(YEAR(B136),MONTH(B136),1))</f>
        <v/>
      </c>
      <c r="L136" s="77">
        <f>IF(B136="","",YEAR(B136))</f>
        <v/>
      </c>
    </row>
    <row r="137" ht="19" customHeight="1">
      <c r="A137" s="69">
        <f>IF(B137="","",ROW()-5)</f>
        <v/>
      </c>
      <c r="B137" s="43" t="n">
        <v>46084</v>
      </c>
      <c r="C137" s="41" t="inlineStr">
        <is>
          <t>AGGB</t>
        </is>
      </c>
      <c r="D137" s="41" t="inlineStr">
        <is>
          <t>Buy</t>
        </is>
      </c>
      <c r="E137" s="70" t="n">
        <v>2.0934</v>
      </c>
      <c r="F137" s="71" t="n">
        <v>71.66</v>
      </c>
      <c r="G137" s="72" t="n">
        <v>1</v>
      </c>
      <c r="H137" s="73" t="n"/>
      <c r="I137" s="74">
        <f>IF(OR(E137="",F137=""),"",E137*F137)</f>
        <v/>
      </c>
      <c r="J137" s="75">
        <f>IF(I137="","",IF(D137="Buy",I137+N(G137),IF(D137="Sell",I137-N(G137),IF(D137="Dividend",I137-N(G137),I137+N(G137)))))</f>
        <v/>
      </c>
      <c r="K137" s="76">
        <f>IF(B137="","",DATE(YEAR(B137),MONTH(B137),1))</f>
        <v/>
      </c>
      <c r="L137" s="77">
        <f>IF(B137="","",YEAR(B137))</f>
        <v/>
      </c>
    </row>
    <row r="138" ht="19" customHeight="1">
      <c r="A138" s="69">
        <f>IF(B138="","",ROW()-5)</f>
        <v/>
      </c>
      <c r="B138" s="43" t="n">
        <v>46084</v>
      </c>
      <c r="C138" s="41" t="inlineStr">
        <is>
          <t>EMKT</t>
        </is>
      </c>
      <c r="D138" s="41" t="inlineStr">
        <is>
          <t>Buy</t>
        </is>
      </c>
      <c r="E138" s="70" t="n">
        <v>1.8783</v>
      </c>
      <c r="F138" s="71" t="n">
        <v>53.24</v>
      </c>
      <c r="G138" s="72" t="n">
        <v>1</v>
      </c>
      <c r="H138" s="73" t="n"/>
      <c r="I138" s="74">
        <f>IF(OR(E138="",F138=""),"",E138*F138)</f>
        <v/>
      </c>
      <c r="J138" s="75">
        <f>IF(I138="","",IF(D138="Buy",I138+N(G138),IF(D138="Sell",I138-N(G138),IF(D138="Dividend",I138-N(G138),I138+N(G138)))))</f>
        <v/>
      </c>
      <c r="K138" s="76">
        <f>IF(B138="","",DATE(YEAR(B138),MONTH(B138),1))</f>
        <v/>
      </c>
      <c r="L138" s="77">
        <f>IF(B138="","",YEAR(B138))</f>
        <v/>
      </c>
    </row>
    <row r="139" ht="19" customHeight="1">
      <c r="A139" s="69">
        <f>IF(B139="","",ROW()-5)</f>
        <v/>
      </c>
      <c r="B139" s="43" t="n">
        <v>46093</v>
      </c>
      <c r="C139" s="41" t="inlineStr">
        <is>
          <t>TECH</t>
        </is>
      </c>
      <c r="D139" s="41" t="inlineStr">
        <is>
          <t>Buy</t>
        </is>
      </c>
      <c r="E139" s="70" t="n">
        <v>5</v>
      </c>
      <c r="F139" s="71" t="n">
        <v>366.26</v>
      </c>
      <c r="G139" s="72" t="n">
        <v>1.5</v>
      </c>
      <c r="H139" s="73" t="n"/>
      <c r="I139" s="74">
        <f>IF(OR(E139="",F139=""),"",E139*F139)</f>
        <v/>
      </c>
      <c r="J139" s="75">
        <f>IF(I139="","",IF(D139="Buy",I139+N(G139),IF(D139="Sell",I139-N(G139),IF(D139="Dividend",I139-N(G139),I139+N(G139)))))</f>
        <v/>
      </c>
      <c r="K139" s="76">
        <f>IF(B139="","",DATE(YEAR(B139),MONTH(B139),1))</f>
        <v/>
      </c>
      <c r="L139" s="77">
        <f>IF(B139="","",YEAR(B139))</f>
        <v/>
      </c>
    </row>
    <row r="140" ht="19" customHeight="1">
      <c r="A140" s="69">
        <f>IF(B140="","",ROW()-5)</f>
        <v/>
      </c>
      <c r="B140" s="43" t="n">
        <v>46097</v>
      </c>
      <c r="C140" s="41" t="inlineStr">
        <is>
          <t>BANK</t>
        </is>
      </c>
      <c r="D140" s="41" t="inlineStr">
        <is>
          <t>Buy</t>
        </is>
      </c>
      <c r="E140" s="70" t="n">
        <v>20</v>
      </c>
      <c r="F140" s="71" t="n">
        <v>81.29000000000001</v>
      </c>
      <c r="G140" s="72" t="n">
        <v>1.5</v>
      </c>
      <c r="H140" s="73" t="n"/>
      <c r="I140" s="74">
        <f>IF(OR(E140="",F140=""),"",E140*F140)</f>
        <v/>
      </c>
      <c r="J140" s="75">
        <f>IF(I140="","",IF(D140="Buy",I140+N(G140),IF(D140="Sell",I140-N(G140),IF(D140="Dividend",I140-N(G140),I140+N(G140)))))</f>
        <v/>
      </c>
      <c r="K140" s="76">
        <f>IF(B140="","",DATE(YEAR(B140),MONTH(B140),1))</f>
        <v/>
      </c>
      <c r="L140" s="77">
        <f>IF(B140="","",YEAR(B140))</f>
        <v/>
      </c>
    </row>
    <row r="141" ht="19" customHeight="1">
      <c r="A141" s="69">
        <f>IF(B141="","",ROW()-5)</f>
        <v/>
      </c>
      <c r="B141" s="43" t="n">
        <v>46106</v>
      </c>
      <c r="C141" s="41" t="inlineStr">
        <is>
          <t>WRLD</t>
        </is>
      </c>
      <c r="D141" s="41" t="inlineStr">
        <is>
          <t>Dividend</t>
        </is>
      </c>
      <c r="E141" s="70" t="n">
        <v>39.2225</v>
      </c>
      <c r="F141" s="71" t="n">
        <v>0.44</v>
      </c>
      <c r="G141" s="72" t="n">
        <v>0</v>
      </c>
      <c r="H141" s="73" t="n"/>
      <c r="I141" s="74">
        <f>IF(OR(E141="",F141=""),"",E141*F141)</f>
        <v/>
      </c>
      <c r="J141" s="75">
        <f>IF(I141="","",IF(D141="Buy",I141+N(G141),IF(D141="Sell",I141-N(G141),IF(D141="Dividend",I141-N(G141),I141+N(G141)))))</f>
        <v/>
      </c>
      <c r="K141" s="76">
        <f>IF(B141="","",DATE(YEAR(B141),MONTH(B141),1))</f>
        <v/>
      </c>
      <c r="L141" s="77">
        <f>IF(B141="","",YEAR(B141))</f>
        <v/>
      </c>
    </row>
    <row r="142" ht="19" customHeight="1">
      <c r="A142" s="69">
        <f>IF(B142="","",ROW()-5)</f>
        <v/>
      </c>
      <c r="B142" s="43" t="n">
        <v>46106</v>
      </c>
      <c r="C142" s="41" t="inlineStr">
        <is>
          <t>USMK</t>
        </is>
      </c>
      <c r="D142" s="41" t="inlineStr">
        <is>
          <t>Dividend</t>
        </is>
      </c>
      <c r="E142" s="70" t="n">
        <v>24.2754</v>
      </c>
      <c r="F142" s="71" t="n">
        <v>0.39</v>
      </c>
      <c r="G142" s="72" t="n">
        <v>0</v>
      </c>
      <c r="H142" s="73" t="n"/>
      <c r="I142" s="74">
        <f>IF(OR(E142="",F142=""),"",E142*F142)</f>
        <v/>
      </c>
      <c r="J142" s="75">
        <f>IF(I142="","",IF(D142="Buy",I142+N(G142),IF(D142="Sell",I142-N(G142),IF(D142="Dividend",I142-N(G142),I142+N(G142)))))</f>
        <v/>
      </c>
      <c r="K142" s="76">
        <f>IF(B142="","",DATE(YEAR(B142),MONTH(B142),1))</f>
        <v/>
      </c>
      <c r="L142" s="77">
        <f>IF(B142="","",YEAR(B142))</f>
        <v/>
      </c>
    </row>
    <row r="143" ht="19" customHeight="1">
      <c r="A143" s="69">
        <f>IF(B143="","",ROW()-5)</f>
        <v/>
      </c>
      <c r="B143" s="43" t="n">
        <v>46106</v>
      </c>
      <c r="C143" s="41" t="inlineStr">
        <is>
          <t>EMKT</t>
        </is>
      </c>
      <c r="D143" s="41" t="inlineStr">
        <is>
          <t>Dividend</t>
        </is>
      </c>
      <c r="E143" s="70" t="n">
        <v>32.9173</v>
      </c>
      <c r="F143" s="71" t="n">
        <v>0.32</v>
      </c>
      <c r="G143" s="72" t="n">
        <v>0</v>
      </c>
      <c r="H143" s="73" t="n"/>
      <c r="I143" s="74">
        <f>IF(OR(E143="",F143=""),"",E143*F143)</f>
        <v/>
      </c>
      <c r="J143" s="75">
        <f>IF(I143="","",IF(D143="Buy",I143+N(G143),IF(D143="Sell",I143-N(G143),IF(D143="Dividend",I143-N(G143),I143+N(G143)))))</f>
        <v/>
      </c>
      <c r="K143" s="76">
        <f>IF(B143="","",DATE(YEAR(B143),MONTH(B143),1))</f>
        <v/>
      </c>
      <c r="L143" s="77">
        <f>IF(B143="","",YEAR(B143))</f>
        <v/>
      </c>
    </row>
    <row r="144" ht="19" customHeight="1">
      <c r="A144" s="69">
        <f>IF(B144="","",ROW()-5)</f>
        <v/>
      </c>
      <c r="B144" s="43" t="n">
        <v>46106</v>
      </c>
      <c r="C144" s="41" t="inlineStr">
        <is>
          <t>AGGB</t>
        </is>
      </c>
      <c r="D144" s="41" t="inlineStr">
        <is>
          <t>Dividend</t>
        </is>
      </c>
      <c r="E144" s="70" t="n">
        <v>40.2488</v>
      </c>
      <c r="F144" s="71" t="n">
        <v>0.47</v>
      </c>
      <c r="G144" s="72" t="n">
        <v>0</v>
      </c>
      <c r="H144" s="73" t="n"/>
      <c r="I144" s="74">
        <f>IF(OR(E144="",F144=""),"",E144*F144)</f>
        <v/>
      </c>
      <c r="J144" s="75">
        <f>IF(I144="","",IF(D144="Buy",I144+N(G144),IF(D144="Sell",I144-N(G144),IF(D144="Dividend",I144-N(G144),I144+N(G144)))))</f>
        <v/>
      </c>
      <c r="K144" s="76">
        <f>IF(B144="","",DATE(YEAR(B144),MONTH(B144),1))</f>
        <v/>
      </c>
      <c r="L144" s="77">
        <f>IF(B144="","",YEAR(B144))</f>
        <v/>
      </c>
    </row>
    <row r="145" ht="19" customHeight="1">
      <c r="A145" s="69">
        <f>IF(B145="","",ROW()-5)</f>
        <v/>
      </c>
      <c r="B145" s="43" t="n">
        <v>46106</v>
      </c>
      <c r="C145" s="41" t="inlineStr">
        <is>
          <t>TECH</t>
        </is>
      </c>
      <c r="D145" s="41" t="inlineStr">
        <is>
          <t>Dividend</t>
        </is>
      </c>
      <c r="E145" s="70" t="n">
        <v>14.8</v>
      </c>
      <c r="F145" s="71" t="n">
        <v>0.25</v>
      </c>
      <c r="G145" s="72" t="n">
        <v>0</v>
      </c>
      <c r="H145" s="73" t="n"/>
      <c r="I145" s="74">
        <f>IF(OR(E145="",F145=""),"",E145*F145)</f>
        <v/>
      </c>
      <c r="J145" s="75">
        <f>IF(I145="","",IF(D145="Buy",I145+N(G145),IF(D145="Sell",I145-N(G145),IF(D145="Dividend",I145-N(G145),I145+N(G145)))))</f>
        <v/>
      </c>
      <c r="K145" s="76">
        <f>IF(B145="","",DATE(YEAR(B145),MONTH(B145),1))</f>
        <v/>
      </c>
      <c r="L145" s="77">
        <f>IF(B145="","",YEAR(B145))</f>
        <v/>
      </c>
    </row>
    <row r="146" ht="19" customHeight="1">
      <c r="A146" s="69">
        <f>IF(B146="","",ROW()-5)</f>
        <v/>
      </c>
      <c r="B146" s="43" t="n">
        <v>46106</v>
      </c>
      <c r="C146" s="41" t="inlineStr">
        <is>
          <t>BANK</t>
        </is>
      </c>
      <c r="D146" s="41" t="inlineStr">
        <is>
          <t>Dividend</t>
        </is>
      </c>
      <c r="E146" s="70" t="n">
        <v>64</v>
      </c>
      <c r="F146" s="71" t="n">
        <v>0.55</v>
      </c>
      <c r="G146" s="72" t="n">
        <v>0</v>
      </c>
      <c r="H146" s="73" t="n"/>
      <c r="I146" s="74">
        <f>IF(OR(E146="",F146=""),"",E146*F146)</f>
        <v/>
      </c>
      <c r="J146" s="75">
        <f>IF(I146="","",IF(D146="Buy",I146+N(G146),IF(D146="Sell",I146-N(G146),IF(D146="Dividend",I146-N(G146),I146+N(G146)))))</f>
        <v/>
      </c>
      <c r="K146" s="76">
        <f>IF(B146="","",DATE(YEAR(B146),MONTH(B146),1))</f>
        <v/>
      </c>
      <c r="L146" s="77">
        <f>IF(B146="","",YEAR(B146))</f>
        <v/>
      </c>
    </row>
    <row r="147" ht="19" customHeight="1">
      <c r="A147" s="69">
        <f>IF(B147="","",ROW()-5)</f>
        <v/>
      </c>
      <c r="B147" s="43" t="n">
        <v>46106</v>
      </c>
      <c r="C147" s="41" t="inlineStr">
        <is>
          <t>HLTH</t>
        </is>
      </c>
      <c r="D147" s="41" t="inlineStr">
        <is>
          <t>Dividend</t>
        </is>
      </c>
      <c r="E147" s="70" t="n">
        <v>21</v>
      </c>
      <c r="F147" s="71" t="n">
        <v>0.86</v>
      </c>
      <c r="G147" s="72" t="n">
        <v>0</v>
      </c>
      <c r="H147" s="73" t="n"/>
      <c r="I147" s="74">
        <f>IF(OR(E147="",F147=""),"",E147*F147)</f>
        <v/>
      </c>
      <c r="J147" s="75">
        <f>IF(I147="","",IF(D147="Buy",I147+N(G147),IF(D147="Sell",I147-N(G147),IF(D147="Dividend",I147-N(G147),I147+N(G147)))))</f>
        <v/>
      </c>
      <c r="K147" s="76">
        <f>IF(B147="","",DATE(YEAR(B147),MONTH(B147),1))</f>
        <v/>
      </c>
      <c r="L147" s="77">
        <f>IF(B147="","",YEAR(B147))</f>
        <v/>
      </c>
    </row>
    <row r="148" ht="19" customHeight="1">
      <c r="A148" s="69">
        <f>IF(B148="","",ROW()-5)</f>
        <v/>
      </c>
      <c r="B148" s="43" t="n">
        <v>46106</v>
      </c>
      <c r="C148" s="41" t="inlineStr">
        <is>
          <t>ENRG</t>
        </is>
      </c>
      <c r="D148" s="41" t="inlineStr">
        <is>
          <t>Dividend</t>
        </is>
      </c>
      <c r="E148" s="70" t="n">
        <v>44</v>
      </c>
      <c r="F148" s="71" t="n">
        <v>0.38</v>
      </c>
      <c r="G148" s="72" t="n">
        <v>0</v>
      </c>
      <c r="H148" s="73" t="n"/>
      <c r="I148" s="74">
        <f>IF(OR(E148="",F148=""),"",E148*F148)</f>
        <v/>
      </c>
      <c r="J148" s="75">
        <f>IF(I148="","",IF(D148="Buy",I148+N(G148),IF(D148="Sell",I148-N(G148),IF(D148="Dividend",I148-N(G148),I148+N(G148)))))</f>
        <v/>
      </c>
      <c r="K148" s="76">
        <f>IF(B148="","",DATE(YEAR(B148),MONTH(B148),1))</f>
        <v/>
      </c>
      <c r="L148" s="77">
        <f>IF(B148="","",YEAR(B148))</f>
        <v/>
      </c>
    </row>
    <row r="149" ht="19" customHeight="1">
      <c r="A149" s="69">
        <f>IF(B149="","",ROW()-5)</f>
        <v/>
      </c>
      <c r="B149" s="43" t="n">
        <v>46106</v>
      </c>
      <c r="C149" s="41" t="inlineStr">
        <is>
          <t>CONS</t>
        </is>
      </c>
      <c r="D149" s="41" t="inlineStr">
        <is>
          <t>Dividend</t>
        </is>
      </c>
      <c r="E149" s="70" t="n">
        <v>54</v>
      </c>
      <c r="F149" s="71" t="n">
        <v>0.59</v>
      </c>
      <c r="G149" s="72" t="n">
        <v>0</v>
      </c>
      <c r="H149" s="73" t="n"/>
      <c r="I149" s="74">
        <f>IF(OR(E149="",F149=""),"",E149*F149)</f>
        <v/>
      </c>
      <c r="J149" s="75">
        <f>IF(I149="","",IF(D149="Buy",I149+N(G149),IF(D149="Sell",I149-N(G149),IF(D149="Dividend",I149-N(G149),I149+N(G149)))))</f>
        <v/>
      </c>
      <c r="K149" s="76">
        <f>IF(B149="","",DATE(YEAR(B149),MONTH(B149),1))</f>
        <v/>
      </c>
      <c r="L149" s="77">
        <f>IF(B149="","",YEAR(B149))</f>
        <v/>
      </c>
    </row>
    <row r="150" ht="19" customHeight="1">
      <c r="A150" s="69">
        <f>IF(B150="","",ROW()-5)</f>
        <v/>
      </c>
      <c r="B150" s="43" t="n">
        <v>46106</v>
      </c>
      <c r="C150" s="41" t="inlineStr">
        <is>
          <t>PROP</t>
        </is>
      </c>
      <c r="D150" s="41" t="inlineStr">
        <is>
          <t>Dividend</t>
        </is>
      </c>
      <c r="E150" s="70" t="n">
        <v>32</v>
      </c>
      <c r="F150" s="71" t="n">
        <v>0.41</v>
      </c>
      <c r="G150" s="72" t="n">
        <v>0</v>
      </c>
      <c r="H150" s="73" t="n"/>
      <c r="I150" s="74">
        <f>IF(OR(E150="",F150=""),"",E150*F150)</f>
        <v/>
      </c>
      <c r="J150" s="75">
        <f>IF(I150="","",IF(D150="Buy",I150+N(G150),IF(D150="Sell",I150-N(G150),IF(D150="Dividend",I150-N(G150),I150+N(G150)))))</f>
        <v/>
      </c>
      <c r="K150" s="76">
        <f>IF(B150="","",DATE(YEAR(B150),MONTH(B150),1))</f>
        <v/>
      </c>
      <c r="L150" s="77">
        <f>IF(B150="","",YEAR(B150))</f>
        <v/>
      </c>
    </row>
    <row r="151" ht="19" customHeight="1">
      <c r="A151" s="69">
        <f>IF(B151="","",ROW()-5)</f>
        <v/>
      </c>
      <c r="B151" s="43" t="n">
        <v>46115</v>
      </c>
      <c r="C151" s="41" t="inlineStr">
        <is>
          <t>WRLD</t>
        </is>
      </c>
      <c r="D151" s="41" t="inlineStr">
        <is>
          <t>Buy</t>
        </is>
      </c>
      <c r="E151" s="70" t="n">
        <v>2.3302</v>
      </c>
      <c r="F151" s="71" t="n">
        <v>107.29</v>
      </c>
      <c r="G151" s="72" t="n">
        <v>1</v>
      </c>
      <c r="H151" s="73" t="n"/>
      <c r="I151" s="74">
        <f>IF(OR(E151="",F151=""),"",E151*F151)</f>
        <v/>
      </c>
      <c r="J151" s="75">
        <f>IF(I151="","",IF(D151="Buy",I151+N(G151),IF(D151="Sell",I151-N(G151),IF(D151="Dividend",I151-N(G151),I151+N(G151)))))</f>
        <v/>
      </c>
      <c r="K151" s="76">
        <f>IF(B151="","",DATE(YEAR(B151),MONTH(B151),1))</f>
        <v/>
      </c>
      <c r="L151" s="77">
        <f>IF(B151="","",YEAR(B151))</f>
        <v/>
      </c>
    </row>
    <row r="152" ht="19" customHeight="1">
      <c r="A152" s="69">
        <f>IF(B152="","",ROW()-5)</f>
        <v/>
      </c>
      <c r="B152" s="43" t="n">
        <v>46115</v>
      </c>
      <c r="C152" s="41" t="inlineStr">
        <is>
          <t>USMK</t>
        </is>
      </c>
      <c r="D152" s="41" t="inlineStr">
        <is>
          <t>Buy</t>
        </is>
      </c>
      <c r="E152" s="70" t="n">
        <v>1.4712</v>
      </c>
      <c r="F152" s="71" t="n">
        <v>135.94</v>
      </c>
      <c r="G152" s="72" t="n">
        <v>1</v>
      </c>
      <c r="H152" s="73" t="n"/>
      <c r="I152" s="74">
        <f>IF(OR(E152="",F152=""),"",E152*F152)</f>
        <v/>
      </c>
      <c r="J152" s="75">
        <f>IF(I152="","",IF(D152="Buy",I152+N(G152),IF(D152="Sell",I152-N(G152),IF(D152="Dividend",I152-N(G152),I152+N(G152)))))</f>
        <v/>
      </c>
      <c r="K152" s="76">
        <f>IF(B152="","",DATE(YEAR(B152),MONTH(B152),1))</f>
        <v/>
      </c>
      <c r="L152" s="77">
        <f>IF(B152="","",YEAR(B152))</f>
        <v/>
      </c>
    </row>
    <row r="153" ht="19" customHeight="1">
      <c r="A153" s="69">
        <f>IF(B153="","",ROW()-5)</f>
        <v/>
      </c>
      <c r="B153" s="43" t="n">
        <v>46115</v>
      </c>
      <c r="C153" s="41" t="inlineStr">
        <is>
          <t>AGGB</t>
        </is>
      </c>
      <c r="D153" s="41" t="inlineStr">
        <is>
          <t>Buy</t>
        </is>
      </c>
      <c r="E153" s="70" t="n">
        <v>2.1209</v>
      </c>
      <c r="F153" s="71" t="n">
        <v>70.72</v>
      </c>
      <c r="G153" s="72" t="n">
        <v>1</v>
      </c>
      <c r="H153" s="73" t="n"/>
      <c r="I153" s="74">
        <f>IF(OR(E153="",F153=""),"",E153*F153)</f>
        <v/>
      </c>
      <c r="J153" s="75">
        <f>IF(I153="","",IF(D153="Buy",I153+N(G153),IF(D153="Sell",I153-N(G153),IF(D153="Dividend",I153-N(G153),I153+N(G153)))))</f>
        <v/>
      </c>
      <c r="K153" s="76">
        <f>IF(B153="","",DATE(YEAR(B153),MONTH(B153),1))</f>
        <v/>
      </c>
      <c r="L153" s="77">
        <f>IF(B153="","",YEAR(B153))</f>
        <v/>
      </c>
    </row>
    <row r="154" ht="19" customHeight="1">
      <c r="A154" s="69">
        <f>IF(B154="","",ROW()-5)</f>
        <v/>
      </c>
      <c r="B154" s="43" t="n">
        <v>46115</v>
      </c>
      <c r="C154" s="41" t="inlineStr">
        <is>
          <t>EMKT</t>
        </is>
      </c>
      <c r="D154" s="41" t="inlineStr">
        <is>
          <t>Buy</t>
        </is>
      </c>
      <c r="E154" s="70" t="n">
        <v>1.939</v>
      </c>
      <c r="F154" s="71" t="n">
        <v>51.57</v>
      </c>
      <c r="G154" s="72" t="n">
        <v>1</v>
      </c>
      <c r="H154" s="73" t="n"/>
      <c r="I154" s="74">
        <f>IF(OR(E154="",F154=""),"",E154*F154)</f>
        <v/>
      </c>
      <c r="J154" s="75">
        <f>IF(I154="","",IF(D154="Buy",I154+N(G154),IF(D154="Sell",I154-N(G154),IF(D154="Dividend",I154-N(G154),I154+N(G154)))))</f>
        <v/>
      </c>
      <c r="K154" s="76">
        <f>IF(B154="","",DATE(YEAR(B154),MONTH(B154),1))</f>
        <v/>
      </c>
      <c r="L154" s="77">
        <f>IF(B154="","",YEAR(B154))</f>
        <v/>
      </c>
    </row>
    <row r="155" ht="19" customHeight="1">
      <c r="A155" s="69">
        <f>IF(B155="","",ROW()-5)</f>
        <v/>
      </c>
      <c r="B155" s="43" t="n">
        <v>46124</v>
      </c>
      <c r="C155" s="41" t="inlineStr">
        <is>
          <t>HLTH</t>
        </is>
      </c>
      <c r="D155" s="41" t="inlineStr">
        <is>
          <t>Buy</t>
        </is>
      </c>
      <c r="E155" s="70" t="n">
        <v>5</v>
      </c>
      <c r="F155" s="71" t="n">
        <v>131.17</v>
      </c>
      <c r="G155" s="72" t="n">
        <v>1.5</v>
      </c>
      <c r="H155" s="73" t="n"/>
      <c r="I155" s="74">
        <f>IF(OR(E155="",F155=""),"",E155*F155)</f>
        <v/>
      </c>
      <c r="J155" s="75">
        <f>IF(I155="","",IF(D155="Buy",I155+N(G155),IF(D155="Sell",I155-N(G155),IF(D155="Dividend",I155-N(G155),I155+N(G155)))))</f>
        <v/>
      </c>
      <c r="K155" s="76">
        <f>IF(B155="","",DATE(YEAR(B155),MONTH(B155),1))</f>
        <v/>
      </c>
      <c r="L155" s="77">
        <f>IF(B155="","",YEAR(B155))</f>
        <v/>
      </c>
    </row>
    <row r="156" ht="19" customHeight="1">
      <c r="A156" s="69">
        <f>IF(B156="","",ROW()-5)</f>
        <v/>
      </c>
      <c r="B156" s="43" t="n">
        <v>46128</v>
      </c>
      <c r="C156" s="41" t="inlineStr">
        <is>
          <t>ENRG</t>
        </is>
      </c>
      <c r="D156" s="41" t="inlineStr">
        <is>
          <t>Buy</t>
        </is>
      </c>
      <c r="E156" s="70" t="n">
        <v>20</v>
      </c>
      <c r="F156" s="71" t="n">
        <v>34.81</v>
      </c>
      <c r="G156" s="72" t="n">
        <v>1.5</v>
      </c>
      <c r="H156" s="73" t="n"/>
      <c r="I156" s="74">
        <f>IF(OR(E156="",F156=""),"",E156*F156)</f>
        <v/>
      </c>
      <c r="J156" s="75">
        <f>IF(I156="","",IF(D156="Buy",I156+N(G156),IF(D156="Sell",I156-N(G156),IF(D156="Dividend",I156-N(G156),I156+N(G156)))))</f>
        <v/>
      </c>
      <c r="K156" s="76">
        <f>IF(B156="","",DATE(YEAR(B156),MONTH(B156),1))</f>
        <v/>
      </c>
      <c r="L156" s="77">
        <f>IF(B156="","",YEAR(B156))</f>
        <v/>
      </c>
    </row>
    <row r="157" ht="19" customHeight="1">
      <c r="A157" s="69">
        <f>IF(B157="","",ROW()-5)</f>
        <v/>
      </c>
      <c r="B157" s="43" t="n">
        <v>46145</v>
      </c>
      <c r="C157" s="41" t="inlineStr">
        <is>
          <t>WRLD</t>
        </is>
      </c>
      <c r="D157" s="41" t="inlineStr">
        <is>
          <t>Buy</t>
        </is>
      </c>
      <c r="E157" s="70" t="n">
        <v>2.0636</v>
      </c>
      <c r="F157" s="71" t="n">
        <v>121.15</v>
      </c>
      <c r="G157" s="72" t="n">
        <v>1</v>
      </c>
      <c r="H157" s="73" t="n"/>
      <c r="I157" s="74">
        <f>IF(OR(E157="",F157=""),"",E157*F157)</f>
        <v/>
      </c>
      <c r="J157" s="75">
        <f>IF(I157="","",IF(D157="Buy",I157+N(G157),IF(D157="Sell",I157-N(G157),IF(D157="Dividend",I157-N(G157),I157+N(G157)))))</f>
        <v/>
      </c>
      <c r="K157" s="76">
        <f>IF(B157="","",DATE(YEAR(B157),MONTH(B157),1))</f>
        <v/>
      </c>
      <c r="L157" s="77">
        <f>IF(B157="","",YEAR(B157))</f>
        <v/>
      </c>
    </row>
    <row r="158" ht="19" customHeight="1">
      <c r="A158" s="69">
        <f>IF(B158="","",ROW()-5)</f>
        <v/>
      </c>
      <c r="B158" s="43" t="n">
        <v>46145</v>
      </c>
      <c r="C158" s="41" t="inlineStr">
        <is>
          <t>USMK</t>
        </is>
      </c>
      <c r="D158" s="41" t="inlineStr">
        <is>
          <t>Buy</t>
        </is>
      </c>
      <c r="E158" s="70" t="n">
        <v>1.4071</v>
      </c>
      <c r="F158" s="71" t="n">
        <v>142.14</v>
      </c>
      <c r="G158" s="72" t="n">
        <v>1</v>
      </c>
      <c r="H158" s="73" t="n"/>
      <c r="I158" s="74">
        <f>IF(OR(E158="",F158=""),"",E158*F158)</f>
        <v/>
      </c>
      <c r="J158" s="75">
        <f>IF(I158="","",IF(D158="Buy",I158+N(G158),IF(D158="Sell",I158-N(G158),IF(D158="Dividend",I158-N(G158),I158+N(G158)))))</f>
        <v/>
      </c>
      <c r="K158" s="76">
        <f>IF(B158="","",DATE(YEAR(B158),MONTH(B158),1))</f>
        <v/>
      </c>
      <c r="L158" s="77">
        <f>IF(B158="","",YEAR(B158))</f>
        <v/>
      </c>
    </row>
    <row r="159" ht="19" customHeight="1">
      <c r="A159" s="69">
        <f>IF(B159="","",ROW()-5)</f>
        <v/>
      </c>
      <c r="B159" s="43" t="n">
        <v>46145</v>
      </c>
      <c r="C159" s="41" t="inlineStr">
        <is>
          <t>AGGB</t>
        </is>
      </c>
      <c r="D159" s="41" t="inlineStr">
        <is>
          <t>Buy</t>
        </is>
      </c>
      <c r="E159" s="70" t="n">
        <v>2.1845</v>
      </c>
      <c r="F159" s="71" t="n">
        <v>68.66</v>
      </c>
      <c r="G159" s="72" t="n">
        <v>1</v>
      </c>
      <c r="H159" s="73" t="n"/>
      <c r="I159" s="74">
        <f>IF(OR(E159="",F159=""),"",E159*F159)</f>
        <v/>
      </c>
      <c r="J159" s="75">
        <f>IF(I159="","",IF(D159="Buy",I159+N(G159),IF(D159="Sell",I159-N(G159),IF(D159="Dividend",I159-N(G159),I159+N(G159)))))</f>
        <v/>
      </c>
      <c r="K159" s="76">
        <f>IF(B159="","",DATE(YEAR(B159),MONTH(B159),1))</f>
        <v/>
      </c>
      <c r="L159" s="77">
        <f>IF(B159="","",YEAR(B159))</f>
        <v/>
      </c>
    </row>
    <row r="160" ht="19" customHeight="1">
      <c r="A160" s="69">
        <f>IF(B160="","",ROW()-5)</f>
        <v/>
      </c>
      <c r="B160" s="43" t="n">
        <v>46145</v>
      </c>
      <c r="C160" s="41" t="inlineStr">
        <is>
          <t>EMKT</t>
        </is>
      </c>
      <c r="D160" s="41" t="inlineStr">
        <is>
          <t>Buy</t>
        </is>
      </c>
      <c r="E160" s="70" t="n">
        <v>1.8669</v>
      </c>
      <c r="F160" s="71" t="n">
        <v>53.56</v>
      </c>
      <c r="G160" s="72" t="n">
        <v>1</v>
      </c>
      <c r="H160" s="73" t="n"/>
      <c r="I160" s="74">
        <f>IF(OR(E160="",F160=""),"",E160*F160)</f>
        <v/>
      </c>
      <c r="J160" s="75">
        <f>IF(I160="","",IF(D160="Buy",I160+N(G160),IF(D160="Sell",I160-N(G160),IF(D160="Dividend",I160-N(G160),I160+N(G160)))))</f>
        <v/>
      </c>
      <c r="K160" s="76">
        <f>IF(B160="","",DATE(YEAR(B160),MONTH(B160),1))</f>
        <v/>
      </c>
      <c r="L160" s="77">
        <f>IF(B160="","",YEAR(B160))</f>
        <v/>
      </c>
    </row>
    <row r="161" ht="19" customHeight="1">
      <c r="A161" s="69">
        <f>IF(B161="","",ROW()-5)</f>
        <v/>
      </c>
      <c r="B161" s="43" t="n">
        <v>46154</v>
      </c>
      <c r="C161" s="41" t="inlineStr">
        <is>
          <t>CONS</t>
        </is>
      </c>
      <c r="D161" s="41" t="inlineStr">
        <is>
          <t>Buy</t>
        </is>
      </c>
      <c r="E161" s="70" t="n">
        <v>14</v>
      </c>
      <c r="F161" s="71" t="n">
        <v>65.78</v>
      </c>
      <c r="G161" s="72" t="n">
        <v>1.5</v>
      </c>
      <c r="H161" s="73" t="n"/>
      <c r="I161" s="74">
        <f>IF(OR(E161="",F161=""),"",E161*F161)</f>
        <v/>
      </c>
      <c r="J161" s="75">
        <f>IF(I161="","",IF(D161="Buy",I161+N(G161),IF(D161="Sell",I161-N(G161),IF(D161="Dividend",I161-N(G161),I161+N(G161)))))</f>
        <v/>
      </c>
      <c r="K161" s="76">
        <f>IF(B161="","",DATE(YEAR(B161),MONTH(B161),1))</f>
        <v/>
      </c>
      <c r="L161" s="77">
        <f>IF(B161="","",YEAR(B161))</f>
        <v/>
      </c>
    </row>
    <row r="162" ht="19" customHeight="1">
      <c r="A162" s="69">
        <f>IF(B162="","",ROW()-5)</f>
        <v/>
      </c>
      <c r="B162" s="43" t="n">
        <v>46158</v>
      </c>
      <c r="C162" s="41" t="inlineStr">
        <is>
          <t>PROP</t>
        </is>
      </c>
      <c r="D162" s="41" t="inlineStr">
        <is>
          <t>Buy</t>
        </is>
      </c>
      <c r="E162" s="70" t="n">
        <v>8</v>
      </c>
      <c r="F162" s="71" t="n">
        <v>24.23</v>
      </c>
      <c r="G162" s="72" t="n">
        <v>1.5</v>
      </c>
      <c r="H162" s="73" t="n"/>
      <c r="I162" s="74">
        <f>IF(OR(E162="",F162=""),"",E162*F162)</f>
        <v/>
      </c>
      <c r="J162" s="75">
        <f>IF(I162="","",IF(D162="Buy",I162+N(G162),IF(D162="Sell",I162-N(G162),IF(D162="Dividend",I162-N(G162),I162+N(G162)))))</f>
        <v/>
      </c>
      <c r="K162" s="76">
        <f>IF(B162="","",DATE(YEAR(B162),MONTH(B162),1))</f>
        <v/>
      </c>
      <c r="L162" s="77">
        <f>IF(B162="","",YEAR(B162))</f>
        <v/>
      </c>
    </row>
    <row r="163" ht="19" customHeight="1">
      <c r="A163" s="69">
        <f>IF(B163="","",ROW()-5)</f>
        <v/>
      </c>
      <c r="B163" s="43" t="n">
        <v>46162</v>
      </c>
      <c r="C163" s="41" t="inlineStr">
        <is>
          <t>ENRG</t>
        </is>
      </c>
      <c r="D163" s="41" t="inlineStr">
        <is>
          <t>Sell</t>
        </is>
      </c>
      <c r="E163" s="70" t="n">
        <v>19.2</v>
      </c>
      <c r="F163" s="71" t="n">
        <v>35.67</v>
      </c>
      <c r="G163" s="72" t="n">
        <v>1.5</v>
      </c>
      <c r="H163" s="73" t="n"/>
      <c r="I163" s="74">
        <f>IF(OR(E163="",F163=""),"",E163*F163)</f>
        <v/>
      </c>
      <c r="J163" s="75">
        <f>IF(I163="","",IF(D163="Buy",I163+N(G163),IF(D163="Sell",I163-N(G163),IF(D163="Dividend",I163-N(G163),I163+N(G163)))))</f>
        <v/>
      </c>
      <c r="K163" s="76">
        <f>IF(B163="","",DATE(YEAR(B163),MONTH(B163),1))</f>
        <v/>
      </c>
      <c r="L163" s="77">
        <f>IF(B163="","",YEAR(B163))</f>
        <v/>
      </c>
    </row>
    <row r="164" ht="19" customHeight="1">
      <c r="A164" s="69">
        <f>IF(B164="","",ROW()-5)</f>
        <v/>
      </c>
      <c r="B164" s="43" t="n">
        <v>46176</v>
      </c>
      <c r="C164" s="41" t="inlineStr">
        <is>
          <t>WRLD</t>
        </is>
      </c>
      <c r="D164" s="41" t="inlineStr">
        <is>
          <t>Buy</t>
        </is>
      </c>
      <c r="E164" s="70" t="n">
        <v>2.0785</v>
      </c>
      <c r="F164" s="71" t="n">
        <v>120.28</v>
      </c>
      <c r="G164" s="72" t="n">
        <v>1</v>
      </c>
      <c r="H164" s="73" t="n"/>
      <c r="I164" s="74">
        <f>IF(OR(E164="",F164=""),"",E164*F164)</f>
        <v/>
      </c>
      <c r="J164" s="75">
        <f>IF(I164="","",IF(D164="Buy",I164+N(G164),IF(D164="Sell",I164-N(G164),IF(D164="Dividend",I164-N(G164),I164+N(G164)))))</f>
        <v/>
      </c>
      <c r="K164" s="76">
        <f>IF(B164="","",DATE(YEAR(B164),MONTH(B164),1))</f>
        <v/>
      </c>
      <c r="L164" s="77">
        <f>IF(B164="","",YEAR(B164))</f>
        <v/>
      </c>
    </row>
    <row r="165" ht="19" customHeight="1">
      <c r="A165" s="69">
        <f>IF(B165="","",ROW()-5)</f>
        <v/>
      </c>
      <c r="B165" s="43" t="n">
        <v>46176</v>
      </c>
      <c r="C165" s="41" t="inlineStr">
        <is>
          <t>USMK</t>
        </is>
      </c>
      <c r="D165" s="41" t="inlineStr">
        <is>
          <t>Buy</t>
        </is>
      </c>
      <c r="E165" s="70" t="n">
        <v>1.4835</v>
      </c>
      <c r="F165" s="71" t="n">
        <v>134.81</v>
      </c>
      <c r="G165" s="72" t="n">
        <v>1</v>
      </c>
      <c r="H165" s="73" t="n"/>
      <c r="I165" s="74">
        <f>IF(OR(E165="",F165=""),"",E165*F165)</f>
        <v/>
      </c>
      <c r="J165" s="75">
        <f>IF(I165="","",IF(D165="Buy",I165+N(G165),IF(D165="Sell",I165-N(G165),IF(D165="Dividend",I165-N(G165),I165+N(G165)))))</f>
        <v/>
      </c>
      <c r="K165" s="76">
        <f>IF(B165="","",DATE(YEAR(B165),MONTH(B165),1))</f>
        <v/>
      </c>
      <c r="L165" s="77">
        <f>IF(B165="","",YEAR(B165))</f>
        <v/>
      </c>
    </row>
    <row r="166" ht="19" customHeight="1">
      <c r="A166" s="69">
        <f>IF(B166="","",ROW()-5)</f>
        <v/>
      </c>
      <c r="B166" s="43" t="n">
        <v>46176</v>
      </c>
      <c r="C166" s="41" t="inlineStr">
        <is>
          <t>AGGB</t>
        </is>
      </c>
      <c r="D166" s="41" t="inlineStr">
        <is>
          <t>Buy</t>
        </is>
      </c>
      <c r="E166" s="70" t="n">
        <v>1.9968</v>
      </c>
      <c r="F166" s="71" t="n">
        <v>75.12</v>
      </c>
      <c r="G166" s="72" t="n">
        <v>1</v>
      </c>
      <c r="H166" s="73" t="n"/>
      <c r="I166" s="74">
        <f>IF(OR(E166="",F166=""),"",E166*F166)</f>
        <v/>
      </c>
      <c r="J166" s="75">
        <f>IF(I166="","",IF(D166="Buy",I166+N(G166),IF(D166="Sell",I166-N(G166),IF(D166="Dividend",I166-N(G166),I166+N(G166)))))</f>
        <v/>
      </c>
      <c r="K166" s="76">
        <f>IF(B166="","",DATE(YEAR(B166),MONTH(B166),1))</f>
        <v/>
      </c>
      <c r="L166" s="77">
        <f>IF(B166="","",YEAR(B166))</f>
        <v/>
      </c>
    </row>
    <row r="167" ht="19" customHeight="1">
      <c r="A167" s="69">
        <f>IF(B167="","",ROW()-5)</f>
        <v/>
      </c>
      <c r="B167" s="43" t="n">
        <v>46176</v>
      </c>
      <c r="C167" s="41" t="inlineStr">
        <is>
          <t>EMKT</t>
        </is>
      </c>
      <c r="D167" s="41" t="inlineStr">
        <is>
          <t>Buy</t>
        </is>
      </c>
      <c r="E167" s="70" t="n">
        <v>1.8219</v>
      </c>
      <c r="F167" s="71" t="n">
        <v>54.89</v>
      </c>
      <c r="G167" s="72" t="n">
        <v>1</v>
      </c>
      <c r="H167" s="73" t="n"/>
      <c r="I167" s="74">
        <f>IF(OR(E167="",F167=""),"",E167*F167)</f>
        <v/>
      </c>
      <c r="J167" s="75">
        <f>IF(I167="","",IF(D167="Buy",I167+N(G167),IF(D167="Sell",I167-N(G167),IF(D167="Dividend",I167-N(G167),I167+N(G167)))))</f>
        <v/>
      </c>
      <c r="K167" s="76">
        <f>IF(B167="","",DATE(YEAR(B167),MONTH(B167),1))</f>
        <v/>
      </c>
      <c r="L167" s="77">
        <f>IF(B167="","",YEAR(B167))</f>
        <v/>
      </c>
    </row>
    <row r="168" ht="19" customHeight="1">
      <c r="A168" s="69">
        <f>IF(B168="","",ROW()-5)</f>
        <v/>
      </c>
      <c r="B168" s="43" t="n">
        <v>46185</v>
      </c>
      <c r="C168" s="41" t="inlineStr">
        <is>
          <t>GLDX</t>
        </is>
      </c>
      <c r="D168" s="41" t="inlineStr">
        <is>
          <t>Buy</t>
        </is>
      </c>
      <c r="E168" s="70" t="n">
        <v>6</v>
      </c>
      <c r="F168" s="71" t="n">
        <v>197.69</v>
      </c>
      <c r="G168" s="72" t="n">
        <v>1.5</v>
      </c>
      <c r="H168" s="73" t="n"/>
      <c r="I168" s="74">
        <f>IF(OR(E168="",F168=""),"",E168*F168)</f>
        <v/>
      </c>
      <c r="J168" s="75">
        <f>IF(I168="","",IF(D168="Buy",I168+N(G168),IF(D168="Sell",I168-N(G168),IF(D168="Dividend",I168-N(G168),I168+N(G168)))))</f>
        <v/>
      </c>
      <c r="K168" s="76">
        <f>IF(B168="","",DATE(YEAR(B168),MONTH(B168),1))</f>
        <v/>
      </c>
      <c r="L168" s="77">
        <f>IF(B168="","",YEAR(B168))</f>
        <v/>
      </c>
    </row>
    <row r="169" ht="19" customHeight="1">
      <c r="A169" s="69">
        <f>IF(B169="","",ROW()-5)</f>
        <v/>
      </c>
      <c r="B169" s="43" t="n">
        <v>46189</v>
      </c>
      <c r="C169" s="41" t="inlineStr">
        <is>
          <t>TECH</t>
        </is>
      </c>
      <c r="D169" s="41" t="inlineStr">
        <is>
          <t>Buy</t>
        </is>
      </c>
      <c r="E169" s="70" t="n">
        <v>3</v>
      </c>
      <c r="F169" s="71" t="n">
        <v>329.91</v>
      </c>
      <c r="G169" s="72" t="n">
        <v>1.5</v>
      </c>
      <c r="H169" s="73" t="n"/>
      <c r="I169" s="74">
        <f>IF(OR(E169="",F169=""),"",E169*F169)</f>
        <v/>
      </c>
      <c r="J169" s="75">
        <f>IF(I169="","",IF(D169="Buy",I169+N(G169),IF(D169="Sell",I169-N(G169),IF(D169="Dividend",I169-N(G169),I169+N(G169)))))</f>
        <v/>
      </c>
      <c r="K169" s="76">
        <f>IF(B169="","",DATE(YEAR(B169),MONTH(B169),1))</f>
        <v/>
      </c>
      <c r="L169" s="77">
        <f>IF(B169="","",YEAR(B169))</f>
        <v/>
      </c>
    </row>
    <row r="170" ht="19" customHeight="1">
      <c r="A170" s="69">
        <f>IF(B170="","",ROW()-5)</f>
        <v/>
      </c>
      <c r="B170" s="43" t="n">
        <v>46191</v>
      </c>
      <c r="C170" s="41" t="inlineStr">
        <is>
          <t>BTC</t>
        </is>
      </c>
      <c r="D170" s="41" t="inlineStr">
        <is>
          <t>Buy</t>
        </is>
      </c>
      <c r="E170" s="70" t="n">
        <v>0.01</v>
      </c>
      <c r="F170" s="71" t="n">
        <v>51198.13</v>
      </c>
      <c r="G170" s="72" t="n">
        <v>3</v>
      </c>
      <c r="H170" s="73" t="n"/>
      <c r="I170" s="74">
        <f>IF(OR(E170="",F170=""),"",E170*F170)</f>
        <v/>
      </c>
      <c r="J170" s="75">
        <f>IF(I170="","",IF(D170="Buy",I170+N(G170),IF(D170="Sell",I170-N(G170),IF(D170="Dividend",I170-N(G170),I170+N(G170)))))</f>
        <v/>
      </c>
      <c r="K170" s="76">
        <f>IF(B170="","",DATE(YEAR(B170),MONTH(B170),1))</f>
        <v/>
      </c>
      <c r="L170" s="77">
        <f>IF(B170="","",YEAR(B170))</f>
        <v/>
      </c>
    </row>
    <row r="171" ht="19" customHeight="1">
      <c r="A171" s="69">
        <f>IF(B171="","",ROW()-5)</f>
        <v/>
      </c>
      <c r="B171" s="43" t="n">
        <v>46198</v>
      </c>
      <c r="C171" s="41" t="inlineStr">
        <is>
          <t>WRLD</t>
        </is>
      </c>
      <c r="D171" s="41" t="inlineStr">
        <is>
          <t>Dividend</t>
        </is>
      </c>
      <c r="E171" s="70" t="n">
        <v>45.6948</v>
      </c>
      <c r="F171" s="71" t="n">
        <v>0.4</v>
      </c>
      <c r="G171" s="72" t="n">
        <v>0</v>
      </c>
      <c r="H171" s="73" t="n"/>
      <c r="I171" s="74">
        <f>IF(OR(E171="",F171=""),"",E171*F171)</f>
        <v/>
      </c>
      <c r="J171" s="75">
        <f>IF(I171="","",IF(D171="Buy",I171+N(G171),IF(D171="Sell",I171-N(G171),IF(D171="Dividend",I171-N(G171),I171+N(G171)))))</f>
        <v/>
      </c>
      <c r="K171" s="76">
        <f>IF(B171="","",DATE(YEAR(B171),MONTH(B171),1))</f>
        <v/>
      </c>
      <c r="L171" s="77">
        <f>IF(B171="","",YEAR(B171))</f>
        <v/>
      </c>
    </row>
    <row r="172" ht="19" customHeight="1">
      <c r="A172" s="69">
        <f>IF(B172="","",ROW()-5)</f>
        <v/>
      </c>
      <c r="B172" s="43" t="n">
        <v>46198</v>
      </c>
      <c r="C172" s="41" t="inlineStr">
        <is>
          <t>USMK</t>
        </is>
      </c>
      <c r="D172" s="41" t="inlineStr">
        <is>
          <t>Dividend</t>
        </is>
      </c>
      <c r="E172" s="70" t="n">
        <v>28.6373</v>
      </c>
      <c r="F172" s="71" t="n">
        <v>0.38</v>
      </c>
      <c r="G172" s="72" t="n">
        <v>0</v>
      </c>
      <c r="H172" s="73" t="n"/>
      <c r="I172" s="74">
        <f>IF(OR(E172="",F172=""),"",E172*F172)</f>
        <v/>
      </c>
      <c r="J172" s="75">
        <f>IF(I172="","",IF(D172="Buy",I172+N(G172),IF(D172="Sell",I172-N(G172),IF(D172="Dividend",I172-N(G172),I172+N(G172)))))</f>
        <v/>
      </c>
      <c r="K172" s="76">
        <f>IF(B172="","",DATE(YEAR(B172),MONTH(B172),1))</f>
        <v/>
      </c>
      <c r="L172" s="77">
        <f>IF(B172="","",YEAR(B172))</f>
        <v/>
      </c>
    </row>
    <row r="173" ht="19" customHeight="1">
      <c r="A173" s="69">
        <f>IF(B173="","",ROW()-5)</f>
        <v/>
      </c>
      <c r="B173" s="43" t="n">
        <v>46198</v>
      </c>
      <c r="C173" s="41" t="inlineStr">
        <is>
          <t>EMKT</t>
        </is>
      </c>
      <c r="D173" s="41" t="inlineStr">
        <is>
          <t>Dividend</t>
        </is>
      </c>
      <c r="E173" s="70" t="n">
        <v>38.5451</v>
      </c>
      <c r="F173" s="71" t="n">
        <v>0.31</v>
      </c>
      <c r="G173" s="72" t="n">
        <v>0</v>
      </c>
      <c r="H173" s="73" t="n"/>
      <c r="I173" s="74">
        <f>IF(OR(E173="",F173=""),"",E173*F173)</f>
        <v/>
      </c>
      <c r="J173" s="75">
        <f>IF(I173="","",IF(D173="Buy",I173+N(G173),IF(D173="Sell",I173-N(G173),IF(D173="Dividend",I173-N(G173),I173+N(G173)))))</f>
        <v/>
      </c>
      <c r="K173" s="76">
        <f>IF(B173="","",DATE(YEAR(B173),MONTH(B173),1))</f>
        <v/>
      </c>
      <c r="L173" s="77">
        <f>IF(B173="","",YEAR(B173))</f>
        <v/>
      </c>
    </row>
    <row r="174" ht="19" customHeight="1">
      <c r="A174" s="69">
        <f>IF(B174="","",ROW()-5)</f>
        <v/>
      </c>
      <c r="B174" s="43" t="n">
        <v>46198</v>
      </c>
      <c r="C174" s="41" t="inlineStr">
        <is>
          <t>AGGB</t>
        </is>
      </c>
      <c r="D174" s="41" t="inlineStr">
        <is>
          <t>Dividend</t>
        </is>
      </c>
      <c r="E174" s="70" t="n">
        <v>46.551</v>
      </c>
      <c r="F174" s="71" t="n">
        <v>0.43</v>
      </c>
      <c r="G174" s="72" t="n">
        <v>0</v>
      </c>
      <c r="H174" s="73" t="n"/>
      <c r="I174" s="74">
        <f>IF(OR(E174="",F174=""),"",E174*F174)</f>
        <v/>
      </c>
      <c r="J174" s="75">
        <f>IF(I174="","",IF(D174="Buy",I174+N(G174),IF(D174="Sell",I174-N(G174),IF(D174="Dividend",I174-N(G174),I174+N(G174)))))</f>
        <v/>
      </c>
      <c r="K174" s="76">
        <f>IF(B174="","",DATE(YEAR(B174),MONTH(B174),1))</f>
        <v/>
      </c>
      <c r="L174" s="77">
        <f>IF(B174="","",YEAR(B174))</f>
        <v/>
      </c>
    </row>
    <row r="175" ht="19" customHeight="1">
      <c r="A175" s="69">
        <f>IF(B175="","",ROW()-5)</f>
        <v/>
      </c>
      <c r="B175" s="43" t="n">
        <v>46198</v>
      </c>
      <c r="C175" s="41" t="inlineStr">
        <is>
          <t>TECH</t>
        </is>
      </c>
      <c r="D175" s="41" t="inlineStr">
        <is>
          <t>Dividend</t>
        </is>
      </c>
      <c r="E175" s="70" t="n">
        <v>17.8</v>
      </c>
      <c r="F175" s="71" t="n">
        <v>0.27</v>
      </c>
      <c r="G175" s="72" t="n">
        <v>0</v>
      </c>
      <c r="H175" s="73" t="n"/>
      <c r="I175" s="74">
        <f>IF(OR(E175="",F175=""),"",E175*F175)</f>
        <v/>
      </c>
      <c r="J175" s="75">
        <f>IF(I175="","",IF(D175="Buy",I175+N(G175),IF(D175="Sell",I175-N(G175),IF(D175="Dividend",I175-N(G175),I175+N(G175)))))</f>
        <v/>
      </c>
      <c r="K175" s="76">
        <f>IF(B175="","",DATE(YEAR(B175),MONTH(B175),1))</f>
        <v/>
      </c>
      <c r="L175" s="77">
        <f>IF(B175="","",YEAR(B175))</f>
        <v/>
      </c>
    </row>
    <row r="176" ht="19" customHeight="1">
      <c r="A176" s="69">
        <f>IF(B176="","",ROW()-5)</f>
        <v/>
      </c>
      <c r="B176" s="43" t="n">
        <v>46198</v>
      </c>
      <c r="C176" s="41" t="inlineStr">
        <is>
          <t>BANK</t>
        </is>
      </c>
      <c r="D176" s="41" t="inlineStr">
        <is>
          <t>Dividend</t>
        </is>
      </c>
      <c r="E176" s="70" t="n">
        <v>64</v>
      </c>
      <c r="F176" s="71" t="n">
        <v>0.57</v>
      </c>
      <c r="G176" s="72" t="n">
        <v>0</v>
      </c>
      <c r="H176" s="73" t="n"/>
      <c r="I176" s="74">
        <f>IF(OR(E176="",F176=""),"",E176*F176)</f>
        <v/>
      </c>
      <c r="J176" s="75">
        <f>IF(I176="","",IF(D176="Buy",I176+N(G176),IF(D176="Sell",I176-N(G176),IF(D176="Dividend",I176-N(G176),I176+N(G176)))))</f>
        <v/>
      </c>
      <c r="K176" s="76">
        <f>IF(B176="","",DATE(YEAR(B176),MONTH(B176),1))</f>
        <v/>
      </c>
      <c r="L176" s="77">
        <f>IF(B176="","",YEAR(B176))</f>
        <v/>
      </c>
    </row>
    <row r="177" ht="19" customHeight="1">
      <c r="A177" s="69">
        <f>IF(B177="","",ROW()-5)</f>
        <v/>
      </c>
      <c r="B177" s="43" t="n">
        <v>46198</v>
      </c>
      <c r="C177" s="41" t="inlineStr">
        <is>
          <t>HLTH</t>
        </is>
      </c>
      <c r="D177" s="41" t="inlineStr">
        <is>
          <t>Dividend</t>
        </is>
      </c>
      <c r="E177" s="70" t="n">
        <v>26</v>
      </c>
      <c r="F177" s="71" t="n">
        <v>0.88</v>
      </c>
      <c r="G177" s="72" t="n">
        <v>0</v>
      </c>
      <c r="H177" s="73" t="n"/>
      <c r="I177" s="74">
        <f>IF(OR(E177="",F177=""),"",E177*F177)</f>
        <v/>
      </c>
      <c r="J177" s="75">
        <f>IF(I177="","",IF(D177="Buy",I177+N(G177),IF(D177="Sell",I177-N(G177),IF(D177="Dividend",I177-N(G177),I177+N(G177)))))</f>
        <v/>
      </c>
      <c r="K177" s="76">
        <f>IF(B177="","",DATE(YEAR(B177),MONTH(B177),1))</f>
        <v/>
      </c>
      <c r="L177" s="77">
        <f>IF(B177="","",YEAR(B177))</f>
        <v/>
      </c>
    </row>
    <row r="178" ht="19" customHeight="1">
      <c r="A178" s="69">
        <f>IF(B178="","",ROW()-5)</f>
        <v/>
      </c>
      <c r="B178" s="43" t="n">
        <v>46198</v>
      </c>
      <c r="C178" s="41" t="inlineStr">
        <is>
          <t>ENRG</t>
        </is>
      </c>
      <c r="D178" s="41" t="inlineStr">
        <is>
          <t>Dividend</t>
        </is>
      </c>
      <c r="E178" s="70" t="n">
        <v>44.8</v>
      </c>
      <c r="F178" s="71" t="n">
        <v>0.34</v>
      </c>
      <c r="G178" s="72" t="n">
        <v>0</v>
      </c>
      <c r="H178" s="73" t="n"/>
      <c r="I178" s="74">
        <f>IF(OR(E178="",F178=""),"",E178*F178)</f>
        <v/>
      </c>
      <c r="J178" s="75">
        <f>IF(I178="","",IF(D178="Buy",I178+N(G178),IF(D178="Sell",I178-N(G178),IF(D178="Dividend",I178-N(G178),I178+N(G178)))))</f>
        <v/>
      </c>
      <c r="K178" s="76">
        <f>IF(B178="","",DATE(YEAR(B178),MONTH(B178),1))</f>
        <v/>
      </c>
      <c r="L178" s="77">
        <f>IF(B178="","",YEAR(B178))</f>
        <v/>
      </c>
    </row>
    <row r="179" ht="19" customHeight="1">
      <c r="A179" s="69">
        <f>IF(B179="","",ROW()-5)</f>
        <v/>
      </c>
      <c r="B179" s="43" t="n">
        <v>46198</v>
      </c>
      <c r="C179" s="41" t="inlineStr">
        <is>
          <t>CONS</t>
        </is>
      </c>
      <c r="D179" s="41" t="inlineStr">
        <is>
          <t>Dividend</t>
        </is>
      </c>
      <c r="E179" s="70" t="n">
        <v>68</v>
      </c>
      <c r="F179" s="71" t="n">
        <v>0.58</v>
      </c>
      <c r="G179" s="72" t="n">
        <v>0</v>
      </c>
      <c r="H179" s="73" t="n"/>
      <c r="I179" s="74">
        <f>IF(OR(E179="",F179=""),"",E179*F179)</f>
        <v/>
      </c>
      <c r="J179" s="75">
        <f>IF(I179="","",IF(D179="Buy",I179+N(G179),IF(D179="Sell",I179-N(G179),IF(D179="Dividend",I179-N(G179),I179+N(G179)))))</f>
        <v/>
      </c>
      <c r="K179" s="76">
        <f>IF(B179="","",DATE(YEAR(B179),MONTH(B179),1))</f>
        <v/>
      </c>
      <c r="L179" s="77">
        <f>IF(B179="","",YEAR(B179))</f>
        <v/>
      </c>
    </row>
    <row r="180" ht="19" customHeight="1">
      <c r="A180" s="69">
        <f>IF(B180="","",ROW()-5)</f>
        <v/>
      </c>
      <c r="B180" s="43" t="n">
        <v>46198</v>
      </c>
      <c r="C180" s="41" t="inlineStr">
        <is>
          <t>PROP</t>
        </is>
      </c>
      <c r="D180" s="41" t="inlineStr">
        <is>
          <t>Dividend</t>
        </is>
      </c>
      <c r="E180" s="70" t="n">
        <v>40</v>
      </c>
      <c r="F180" s="71" t="n">
        <v>0.37</v>
      </c>
      <c r="G180" s="72" t="n">
        <v>0</v>
      </c>
      <c r="H180" s="73" t="n"/>
      <c r="I180" s="74">
        <f>IF(OR(E180="",F180=""),"",E180*F180)</f>
        <v/>
      </c>
      <c r="J180" s="75">
        <f>IF(I180="","",IF(D180="Buy",I180+N(G180),IF(D180="Sell",I180-N(G180),IF(D180="Dividend",I180-N(G180),I180+N(G180)))))</f>
        <v/>
      </c>
      <c r="K180" s="76">
        <f>IF(B180="","",DATE(YEAR(B180),MONTH(B180),1))</f>
        <v/>
      </c>
      <c r="L180" s="77">
        <f>IF(B180="","",YEAR(B180))</f>
        <v/>
      </c>
    </row>
    <row r="181" ht="19" customHeight="1">
      <c r="A181" s="69">
        <f>IF(B181="","",ROW()-5)</f>
        <v/>
      </c>
      <c r="B181" s="43" t="n">
        <v>46206</v>
      </c>
      <c r="C181" s="41" t="inlineStr">
        <is>
          <t>WRLD</t>
        </is>
      </c>
      <c r="D181" s="41" t="inlineStr">
        <is>
          <t>Buy</t>
        </is>
      </c>
      <c r="E181" s="70" t="n">
        <v>2.1407</v>
      </c>
      <c r="F181" s="71" t="n">
        <v>116.79</v>
      </c>
      <c r="G181" s="72" t="n">
        <v>1</v>
      </c>
      <c r="H181" s="73" t="n"/>
      <c r="I181" s="74">
        <f>IF(OR(E181="",F181=""),"",E181*F181)</f>
        <v/>
      </c>
      <c r="J181" s="75">
        <f>IF(I181="","",IF(D181="Buy",I181+N(G181),IF(D181="Sell",I181-N(G181),IF(D181="Dividend",I181-N(G181),I181+N(G181)))))</f>
        <v/>
      </c>
      <c r="K181" s="76">
        <f>IF(B181="","",DATE(YEAR(B181),MONTH(B181),1))</f>
        <v/>
      </c>
      <c r="L181" s="77">
        <f>IF(B181="","",YEAR(B181))</f>
        <v/>
      </c>
    </row>
    <row r="182" ht="19" customHeight="1">
      <c r="A182" s="69">
        <f>IF(B182="","",ROW()-5)</f>
        <v/>
      </c>
      <c r="B182" s="43" t="n">
        <v>46206</v>
      </c>
      <c r="C182" s="41" t="inlineStr">
        <is>
          <t>USMK</t>
        </is>
      </c>
      <c r="D182" s="41" t="inlineStr">
        <is>
          <t>Buy</t>
        </is>
      </c>
      <c r="E182" s="70" t="n">
        <v>1.4929</v>
      </c>
      <c r="F182" s="71" t="n">
        <v>133.97</v>
      </c>
      <c r="G182" s="72" t="n">
        <v>1</v>
      </c>
      <c r="H182" s="73" t="n"/>
      <c r="I182" s="74">
        <f>IF(OR(E182="",F182=""),"",E182*F182)</f>
        <v/>
      </c>
      <c r="J182" s="75">
        <f>IF(I182="","",IF(D182="Buy",I182+N(G182),IF(D182="Sell",I182-N(G182),IF(D182="Dividend",I182-N(G182),I182+N(G182)))))</f>
        <v/>
      </c>
      <c r="K182" s="76">
        <f>IF(B182="","",DATE(YEAR(B182),MONTH(B182),1))</f>
        <v/>
      </c>
      <c r="L182" s="77">
        <f>IF(B182="","",YEAR(B182))</f>
        <v/>
      </c>
    </row>
    <row r="183" ht="19" customHeight="1">
      <c r="A183" s="69">
        <f>IF(B183="","",ROW()-5)</f>
        <v/>
      </c>
      <c r="B183" s="43" t="n">
        <v>46206</v>
      </c>
      <c r="C183" s="41" t="inlineStr">
        <is>
          <t>AGGB</t>
        </is>
      </c>
      <c r="D183" s="41" t="inlineStr">
        <is>
          <t>Buy</t>
        </is>
      </c>
      <c r="E183" s="70" t="n">
        <v>1.9716</v>
      </c>
      <c r="F183" s="71" t="n">
        <v>76.08</v>
      </c>
      <c r="G183" s="72" t="n">
        <v>1</v>
      </c>
      <c r="H183" s="73" t="n"/>
      <c r="I183" s="74">
        <f>IF(OR(E183="",F183=""),"",E183*F183)</f>
        <v/>
      </c>
      <c r="J183" s="75">
        <f>IF(I183="","",IF(D183="Buy",I183+N(G183),IF(D183="Sell",I183-N(G183),IF(D183="Dividend",I183-N(G183),I183+N(G183)))))</f>
        <v/>
      </c>
      <c r="K183" s="76">
        <f>IF(B183="","",DATE(YEAR(B183),MONTH(B183),1))</f>
        <v/>
      </c>
      <c r="L183" s="77">
        <f>IF(B183="","",YEAR(B183))</f>
        <v/>
      </c>
    </row>
    <row r="184" ht="19" customHeight="1">
      <c r="A184" s="69">
        <f>IF(B184="","",ROW()-5)</f>
        <v/>
      </c>
      <c r="B184" s="43" t="n">
        <v>46206</v>
      </c>
      <c r="C184" s="41" t="inlineStr">
        <is>
          <t>EMKT</t>
        </is>
      </c>
      <c r="D184" s="41" t="inlineStr">
        <is>
          <t>Buy</t>
        </is>
      </c>
      <c r="E184" s="70" t="n">
        <v>1.6865</v>
      </c>
      <c r="F184" s="71" t="n">
        <v>59.29</v>
      </c>
      <c r="G184" s="72" t="n">
        <v>1</v>
      </c>
      <c r="H184" s="73" t="n"/>
      <c r="I184" s="74">
        <f>IF(OR(E184="",F184=""),"",E184*F184)</f>
        <v/>
      </c>
      <c r="J184" s="75">
        <f>IF(I184="","",IF(D184="Buy",I184+N(G184),IF(D184="Sell",I184-N(G184),IF(D184="Dividend",I184-N(G184),I184+N(G184)))))</f>
        <v/>
      </c>
      <c r="K184" s="76">
        <f>IF(B184="","",DATE(YEAR(B184),MONTH(B184),1))</f>
        <v/>
      </c>
      <c r="L184" s="77">
        <f>IF(B184="","",YEAR(B184))</f>
        <v/>
      </c>
    </row>
    <row r="185" ht="19" customHeight="1">
      <c r="A185" s="69">
        <f>IF(B185="","",ROW()-5)</f>
        <v/>
      </c>
      <c r="B185" s="43" t="n">
        <v>46215</v>
      </c>
      <c r="C185" s="41" t="inlineStr">
        <is>
          <t>BANK</t>
        </is>
      </c>
      <c r="D185" s="41" t="inlineStr">
        <is>
          <t>Buy</t>
        </is>
      </c>
      <c r="E185" s="70" t="n">
        <v>20</v>
      </c>
      <c r="F185" s="71" t="n">
        <v>88.41</v>
      </c>
      <c r="G185" s="72" t="n">
        <v>1.5</v>
      </c>
      <c r="H185" s="73" t="n"/>
      <c r="I185" s="74">
        <f>IF(OR(E185="",F185=""),"",E185*F185)</f>
        <v/>
      </c>
      <c r="J185" s="75">
        <f>IF(I185="","",IF(D185="Buy",I185+N(G185),IF(D185="Sell",I185-N(G185),IF(D185="Dividend",I185-N(G185),I185+N(G185)))))</f>
        <v/>
      </c>
      <c r="K185" s="76">
        <f>IF(B185="","",DATE(YEAR(B185),MONTH(B185),1))</f>
        <v/>
      </c>
      <c r="L185" s="77">
        <f>IF(B185="","",YEAR(B185))</f>
        <v/>
      </c>
    </row>
    <row r="186" ht="19" customHeight="1">
      <c r="A186" s="69">
        <f>IF(B186="","",ROW()-5)</f>
        <v/>
      </c>
      <c r="B186" s="43" t="n">
        <v>46219</v>
      </c>
      <c r="C186" s="41" t="inlineStr">
        <is>
          <t>HLTH</t>
        </is>
      </c>
      <c r="D186" s="41" t="inlineStr">
        <is>
          <t>Buy</t>
        </is>
      </c>
      <c r="E186" s="70" t="n">
        <v>6</v>
      </c>
      <c r="F186" s="71" t="n">
        <v>137.66</v>
      </c>
      <c r="G186" s="72" t="n">
        <v>1.5</v>
      </c>
      <c r="H186" s="73" t="n"/>
      <c r="I186" s="74">
        <f>IF(OR(E186="",F186=""),"",E186*F186)</f>
        <v/>
      </c>
      <c r="J186" s="75">
        <f>IF(I186="","",IF(D186="Buy",I186+N(G186),IF(D186="Sell",I186-N(G186),IF(D186="Dividend",I186-N(G186),I186+N(G186)))))</f>
        <v/>
      </c>
      <c r="K186" s="76">
        <f>IF(B186="","",DATE(YEAR(B186),MONTH(B186),1))</f>
        <v/>
      </c>
      <c r="L186" s="77">
        <f>IF(B186="","",YEAR(B186))</f>
        <v/>
      </c>
    </row>
    <row r="187" ht="19" customHeight="1">
      <c r="A187" s="69">
        <f>IF(B187="","",ROW()-5)</f>
        <v/>
      </c>
      <c r="B187" s="43" t="n">
        <v>46237</v>
      </c>
      <c r="C187" s="41" t="inlineStr">
        <is>
          <t>WRLD</t>
        </is>
      </c>
      <c r="D187" s="41" t="inlineStr">
        <is>
          <t>Buy</t>
        </is>
      </c>
      <c r="E187" s="70" t="n">
        <v>2.2401</v>
      </c>
      <c r="F187" s="71" t="n">
        <v>111.6</v>
      </c>
      <c r="G187" s="72" t="n">
        <v>1</v>
      </c>
      <c r="H187" s="73" t="n"/>
      <c r="I187" s="74">
        <f>IF(OR(E187="",F187=""),"",E187*F187)</f>
        <v/>
      </c>
      <c r="J187" s="75">
        <f>IF(I187="","",IF(D187="Buy",I187+N(G187),IF(D187="Sell",I187-N(G187),IF(D187="Dividend",I187-N(G187),I187+N(G187)))))</f>
        <v/>
      </c>
      <c r="K187" s="76">
        <f>IF(B187="","",DATE(YEAR(B187),MONTH(B187),1))</f>
        <v/>
      </c>
      <c r="L187" s="77">
        <f>IF(B187="","",YEAR(B187))</f>
        <v/>
      </c>
    </row>
    <row r="188" ht="19" customHeight="1">
      <c r="A188" s="69">
        <f>IF(B188="","",ROW()-5)</f>
        <v/>
      </c>
      <c r="B188" s="43" t="n">
        <v>46237</v>
      </c>
      <c r="C188" s="41" t="inlineStr">
        <is>
          <t>USMK</t>
        </is>
      </c>
      <c r="D188" s="41" t="inlineStr">
        <is>
          <t>Buy</t>
        </is>
      </c>
      <c r="E188" s="70" t="n">
        <v>1.4394</v>
      </c>
      <c r="F188" s="71" t="n">
        <v>138.95</v>
      </c>
      <c r="G188" s="72" t="n">
        <v>1</v>
      </c>
      <c r="H188" s="73" t="n"/>
      <c r="I188" s="74">
        <f>IF(OR(E188="",F188=""),"",E188*F188)</f>
        <v/>
      </c>
      <c r="J188" s="75">
        <f>IF(I188="","",IF(D188="Buy",I188+N(G188),IF(D188="Sell",I188-N(G188),IF(D188="Dividend",I188-N(G188),I188+N(G188)))))</f>
        <v/>
      </c>
      <c r="K188" s="76">
        <f>IF(B188="","",DATE(YEAR(B188),MONTH(B188),1))</f>
        <v/>
      </c>
      <c r="L188" s="77">
        <f>IF(B188="","",YEAR(B188))</f>
        <v/>
      </c>
    </row>
    <row r="189" ht="19" customHeight="1">
      <c r="A189" s="69">
        <f>IF(B189="","",ROW()-5)</f>
        <v/>
      </c>
      <c r="B189" s="43" t="n">
        <v>46237</v>
      </c>
      <c r="C189" s="41" t="inlineStr">
        <is>
          <t>AGGB</t>
        </is>
      </c>
      <c r="D189" s="41" t="inlineStr">
        <is>
          <t>Buy</t>
        </is>
      </c>
      <c r="E189" s="70" t="n">
        <v>1.8842</v>
      </c>
      <c r="F189" s="71" t="n">
        <v>79.61</v>
      </c>
      <c r="G189" s="72" t="n">
        <v>1</v>
      </c>
      <c r="H189" s="73" t="n"/>
      <c r="I189" s="74">
        <f>IF(OR(E189="",F189=""),"",E189*F189)</f>
        <v/>
      </c>
      <c r="J189" s="75">
        <f>IF(I189="","",IF(D189="Buy",I189+N(G189),IF(D189="Sell",I189-N(G189),IF(D189="Dividend",I189-N(G189),I189+N(G189)))))</f>
        <v/>
      </c>
      <c r="K189" s="76">
        <f>IF(B189="","",DATE(YEAR(B189),MONTH(B189),1))</f>
        <v/>
      </c>
      <c r="L189" s="77">
        <f>IF(B189="","",YEAR(B189))</f>
        <v/>
      </c>
    </row>
    <row r="190" ht="19" customHeight="1">
      <c r="A190" s="69">
        <f>IF(B190="","",ROW()-5)</f>
        <v/>
      </c>
      <c r="B190" s="43" t="n">
        <v>46237</v>
      </c>
      <c r="C190" s="41" t="inlineStr">
        <is>
          <t>EMKT</t>
        </is>
      </c>
      <c r="D190" s="41" t="inlineStr">
        <is>
          <t>Buy</t>
        </is>
      </c>
      <c r="E190" s="70" t="n">
        <v>1.7097</v>
      </c>
      <c r="F190" s="71" t="n">
        <v>58.49</v>
      </c>
      <c r="G190" s="72" t="n">
        <v>1</v>
      </c>
      <c r="H190" s="73" t="n"/>
      <c r="I190" s="74">
        <f>IF(OR(E190="",F190=""),"",E190*F190)</f>
        <v/>
      </c>
      <c r="J190" s="75">
        <f>IF(I190="","",IF(D190="Buy",I190+N(G190),IF(D190="Sell",I190-N(G190),IF(D190="Dividend",I190-N(G190),I190+N(G190)))))</f>
        <v/>
      </c>
      <c r="K190" s="76">
        <f>IF(B190="","",DATE(YEAR(B190),MONTH(B190),1))</f>
        <v/>
      </c>
      <c r="L190" s="77">
        <f>IF(B190="","",YEAR(B190))</f>
        <v/>
      </c>
    </row>
    <row r="191" ht="19" customHeight="1">
      <c r="A191" s="69">
        <f>IF(B191="","",ROW()-5)</f>
        <v/>
      </c>
      <c r="B191" s="43" t="n">
        <v>46246</v>
      </c>
      <c r="C191" s="41" t="inlineStr">
        <is>
          <t>ENRG</t>
        </is>
      </c>
      <c r="D191" s="41" t="inlineStr">
        <is>
          <t>Buy</t>
        </is>
      </c>
      <c r="E191" s="70" t="n">
        <v>14</v>
      </c>
      <c r="F191" s="71" t="n">
        <v>32.61</v>
      </c>
      <c r="G191" s="72" t="n">
        <v>1.5</v>
      </c>
      <c r="H191" s="73" t="n"/>
      <c r="I191" s="74">
        <f>IF(OR(E191="",F191=""),"",E191*F191)</f>
        <v/>
      </c>
      <c r="J191" s="75">
        <f>IF(I191="","",IF(D191="Buy",I191+N(G191),IF(D191="Sell",I191-N(G191),IF(D191="Dividend",I191-N(G191),I191+N(G191)))))</f>
        <v/>
      </c>
      <c r="K191" s="76">
        <f>IF(B191="","",DATE(YEAR(B191),MONTH(B191),1))</f>
        <v/>
      </c>
      <c r="L191" s="77">
        <f>IF(B191="","",YEAR(B191))</f>
        <v/>
      </c>
    </row>
    <row r="192" ht="19" customHeight="1">
      <c r="A192" s="69">
        <f>IF(B192="","",ROW()-5)</f>
        <v/>
      </c>
      <c r="B192" s="43" t="n">
        <v>46250</v>
      </c>
      <c r="C192" s="41" t="inlineStr">
        <is>
          <t>CONS</t>
        </is>
      </c>
      <c r="D192" s="41" t="inlineStr">
        <is>
          <t>Buy</t>
        </is>
      </c>
      <c r="E192" s="70" t="n">
        <v>14</v>
      </c>
      <c r="F192" s="71" t="n">
        <v>75.95999999999999</v>
      </c>
      <c r="G192" s="72" t="n">
        <v>1.5</v>
      </c>
      <c r="H192" s="73" t="n"/>
      <c r="I192" s="74">
        <f>IF(OR(E192="",F192=""),"",E192*F192)</f>
        <v/>
      </c>
      <c r="J192" s="75">
        <f>IF(I192="","",IF(D192="Buy",I192+N(G192),IF(D192="Sell",I192-N(G192),IF(D192="Dividend",I192-N(G192),I192+N(G192)))))</f>
        <v/>
      </c>
      <c r="K192" s="76">
        <f>IF(B192="","",DATE(YEAR(B192),MONTH(B192),1))</f>
        <v/>
      </c>
      <c r="L192" s="77">
        <f>IF(B192="","",YEAR(B192))</f>
        <v/>
      </c>
    </row>
    <row r="193" ht="19" customHeight="1">
      <c r="A193" s="69">
        <f>IF(B193="","",ROW()-5)</f>
        <v/>
      </c>
      <c r="B193" s="43" t="n">
        <v>46268</v>
      </c>
      <c r="C193" s="41" t="inlineStr">
        <is>
          <t>WRLD</t>
        </is>
      </c>
      <c r="D193" s="41" t="inlineStr">
        <is>
          <t>Buy</t>
        </is>
      </c>
      <c r="E193" s="70" t="n">
        <v>2.2175</v>
      </c>
      <c r="F193" s="71" t="n">
        <v>112.74</v>
      </c>
      <c r="G193" s="72" t="n">
        <v>1</v>
      </c>
      <c r="H193" s="73" t="n"/>
      <c r="I193" s="74">
        <f>IF(OR(E193="",F193=""),"",E193*F193)</f>
        <v/>
      </c>
      <c r="J193" s="75">
        <f>IF(I193="","",IF(D193="Buy",I193+N(G193),IF(D193="Sell",I193-N(G193),IF(D193="Dividend",I193-N(G193),I193+N(G193)))))</f>
        <v/>
      </c>
      <c r="K193" s="76">
        <f>IF(B193="","",DATE(YEAR(B193),MONTH(B193),1))</f>
        <v/>
      </c>
      <c r="L193" s="77">
        <f>IF(B193="","",YEAR(B193))</f>
        <v/>
      </c>
    </row>
    <row r="194" ht="19" customHeight="1">
      <c r="A194" s="69">
        <f>IF(B194="","",ROW()-5)</f>
        <v/>
      </c>
      <c r="B194" s="43" t="n">
        <v>46268</v>
      </c>
      <c r="C194" s="41" t="inlineStr">
        <is>
          <t>USMK</t>
        </is>
      </c>
      <c r="D194" s="41" t="inlineStr">
        <is>
          <t>Buy</t>
        </is>
      </c>
      <c r="E194" s="70" t="n">
        <v>1.4358</v>
      </c>
      <c r="F194" s="71" t="n">
        <v>139.29</v>
      </c>
      <c r="G194" s="72" t="n">
        <v>1</v>
      </c>
      <c r="H194" s="73" t="n"/>
      <c r="I194" s="74">
        <f>IF(OR(E194="",F194=""),"",E194*F194)</f>
        <v/>
      </c>
      <c r="J194" s="75">
        <f>IF(I194="","",IF(D194="Buy",I194+N(G194),IF(D194="Sell",I194-N(G194),IF(D194="Dividend",I194-N(G194),I194+N(G194)))))</f>
        <v/>
      </c>
      <c r="K194" s="76">
        <f>IF(B194="","",DATE(YEAR(B194),MONTH(B194),1))</f>
        <v/>
      </c>
      <c r="L194" s="77">
        <f>IF(B194="","",YEAR(B194))</f>
        <v/>
      </c>
    </row>
    <row r="195" ht="19" customHeight="1">
      <c r="A195" s="69">
        <f>IF(B195="","",ROW()-5)</f>
        <v/>
      </c>
      <c r="B195" s="43" t="n">
        <v>46268</v>
      </c>
      <c r="C195" s="41" t="inlineStr">
        <is>
          <t>AGGB</t>
        </is>
      </c>
      <c r="D195" s="41" t="inlineStr">
        <is>
          <t>Buy</t>
        </is>
      </c>
      <c r="E195" s="70" t="n">
        <v>1.8085</v>
      </c>
      <c r="F195" s="71" t="n">
        <v>82.94</v>
      </c>
      <c r="G195" s="72" t="n">
        <v>1</v>
      </c>
      <c r="H195" s="73" t="n"/>
      <c r="I195" s="74">
        <f>IF(OR(E195="",F195=""),"",E195*F195)</f>
        <v/>
      </c>
      <c r="J195" s="75">
        <f>IF(I195="","",IF(D195="Buy",I195+N(G195),IF(D195="Sell",I195-N(G195),IF(D195="Dividend",I195-N(G195),I195+N(G195)))))</f>
        <v/>
      </c>
      <c r="K195" s="76">
        <f>IF(B195="","",DATE(YEAR(B195),MONTH(B195),1))</f>
        <v/>
      </c>
      <c r="L195" s="77">
        <f>IF(B195="","",YEAR(B195))</f>
        <v/>
      </c>
    </row>
    <row r="196" ht="19" customHeight="1">
      <c r="A196" s="69">
        <f>IF(B196="","",ROW()-5)</f>
        <v/>
      </c>
      <c r="B196" s="43" t="n">
        <v>46268</v>
      </c>
      <c r="C196" s="41" t="inlineStr">
        <is>
          <t>EMKT</t>
        </is>
      </c>
      <c r="D196" s="41" t="inlineStr">
        <is>
          <t>Buy</t>
        </is>
      </c>
      <c r="E196" s="70" t="n">
        <v>1.662</v>
      </c>
      <c r="F196" s="71" t="n">
        <v>60.17</v>
      </c>
      <c r="G196" s="72" t="n">
        <v>1</v>
      </c>
      <c r="H196" s="73" t="n"/>
      <c r="I196" s="74">
        <f>IF(OR(E196="",F196=""),"",E196*F196)</f>
        <v/>
      </c>
      <c r="J196" s="75">
        <f>IF(I196="","",IF(D196="Buy",I196+N(G196),IF(D196="Sell",I196-N(G196),IF(D196="Dividend",I196-N(G196),I196+N(G196)))))</f>
        <v/>
      </c>
      <c r="K196" s="76">
        <f>IF(B196="","",DATE(YEAR(B196),MONTH(B196),1))</f>
        <v/>
      </c>
      <c r="L196" s="77">
        <f>IF(B196="","",YEAR(B196))</f>
        <v/>
      </c>
    </row>
    <row r="197" ht="19" customHeight="1">
      <c r="A197" s="69">
        <f>IF(B197="","",ROW()-5)</f>
        <v/>
      </c>
      <c r="B197" s="43" t="n">
        <v>46277</v>
      </c>
      <c r="C197" s="41" t="inlineStr">
        <is>
          <t>PROP</t>
        </is>
      </c>
      <c r="D197" s="41" t="inlineStr">
        <is>
          <t>Buy</t>
        </is>
      </c>
      <c r="E197" s="70" t="n">
        <v>10</v>
      </c>
      <c r="F197" s="71" t="n">
        <v>28.54</v>
      </c>
      <c r="G197" s="72" t="n">
        <v>1.5</v>
      </c>
      <c r="H197" s="73" t="n"/>
      <c r="I197" s="74">
        <f>IF(OR(E197="",F197=""),"",E197*F197)</f>
        <v/>
      </c>
      <c r="J197" s="75">
        <f>IF(I197="","",IF(D197="Buy",I197+N(G197),IF(D197="Sell",I197-N(G197),IF(D197="Dividend",I197-N(G197),I197+N(G197)))))</f>
        <v/>
      </c>
      <c r="K197" s="76">
        <f>IF(B197="","",DATE(YEAR(B197),MONTH(B197),1))</f>
        <v/>
      </c>
      <c r="L197" s="77">
        <f>IF(B197="","",YEAR(B197))</f>
        <v/>
      </c>
    </row>
    <row r="198" ht="19" customHeight="1">
      <c r="A198" s="69">
        <f>IF(B198="","",ROW()-5)</f>
        <v/>
      </c>
      <c r="B198" s="43" t="n">
        <v>46281</v>
      </c>
      <c r="C198" s="41" t="inlineStr">
        <is>
          <t>GLDX</t>
        </is>
      </c>
      <c r="D198" s="41" t="inlineStr">
        <is>
          <t>Buy</t>
        </is>
      </c>
      <c r="E198" s="70" t="n">
        <v>4</v>
      </c>
      <c r="F198" s="71" t="n">
        <v>191.32</v>
      </c>
      <c r="G198" s="72" t="n">
        <v>1.5</v>
      </c>
      <c r="H198" s="73" t="n"/>
      <c r="I198" s="74">
        <f>IF(OR(E198="",F198=""),"",E198*F198)</f>
        <v/>
      </c>
      <c r="J198" s="75">
        <f>IF(I198="","",IF(D198="Buy",I198+N(G198),IF(D198="Sell",I198-N(G198),IF(D198="Dividend",I198-N(G198),I198+N(G198)))))</f>
        <v/>
      </c>
      <c r="K198" s="76">
        <f>IF(B198="","",DATE(YEAR(B198),MONTH(B198),1))</f>
        <v/>
      </c>
      <c r="L198" s="77">
        <f>IF(B198="","",YEAR(B198))</f>
        <v/>
      </c>
    </row>
    <row r="199" ht="19" customHeight="1">
      <c r="A199" s="69">
        <f>IF(B199="","",ROW()-5)</f>
        <v/>
      </c>
      <c r="B199" s="43" t="n">
        <v>46290</v>
      </c>
      <c r="C199" s="41" t="inlineStr">
        <is>
          <t>WRLD</t>
        </is>
      </c>
      <c r="D199" s="41" t="inlineStr">
        <is>
          <t>Dividend</t>
        </is>
      </c>
      <c r="E199" s="70" t="n">
        <v>52.293</v>
      </c>
      <c r="F199" s="71" t="n">
        <v>0.43</v>
      </c>
      <c r="G199" s="72" t="n">
        <v>0</v>
      </c>
      <c r="H199" s="73" t="n"/>
      <c r="I199" s="74">
        <f>IF(OR(E199="",F199=""),"",E199*F199)</f>
        <v/>
      </c>
      <c r="J199" s="75">
        <f>IF(I199="","",IF(D199="Buy",I199+N(G199),IF(D199="Sell",I199-N(G199),IF(D199="Dividend",I199-N(G199),I199+N(G199)))))</f>
        <v/>
      </c>
      <c r="K199" s="76">
        <f>IF(B199="","",DATE(YEAR(B199),MONTH(B199),1))</f>
        <v/>
      </c>
      <c r="L199" s="77">
        <f>IF(B199="","",YEAR(B199))</f>
        <v/>
      </c>
    </row>
    <row r="200" ht="19" customHeight="1">
      <c r="A200" s="69">
        <f>IF(B200="","",ROW()-5)</f>
        <v/>
      </c>
      <c r="B200" s="43" t="n">
        <v>46290</v>
      </c>
      <c r="C200" s="41" t="inlineStr">
        <is>
          <t>USMK</t>
        </is>
      </c>
      <c r="D200" s="41" t="inlineStr">
        <is>
          <t>Dividend</t>
        </is>
      </c>
      <c r="E200" s="70" t="n">
        <v>33.0054</v>
      </c>
      <c r="F200" s="71" t="n">
        <v>0.37</v>
      </c>
      <c r="G200" s="72" t="n">
        <v>0</v>
      </c>
      <c r="H200" s="73" t="n"/>
      <c r="I200" s="74">
        <f>IF(OR(E200="",F200=""),"",E200*F200)</f>
        <v/>
      </c>
      <c r="J200" s="75">
        <f>IF(I200="","",IF(D200="Buy",I200+N(G200),IF(D200="Sell",I200-N(G200),IF(D200="Dividend",I200-N(G200),I200+N(G200)))))</f>
        <v/>
      </c>
      <c r="K200" s="76">
        <f>IF(B200="","",DATE(YEAR(B200),MONTH(B200),1))</f>
        <v/>
      </c>
      <c r="L200" s="77">
        <f>IF(B200="","",YEAR(B200))</f>
        <v/>
      </c>
    </row>
    <row r="201" ht="19" customHeight="1">
      <c r="A201" s="69">
        <f>IF(B201="","",ROW()-5)</f>
        <v/>
      </c>
      <c r="B201" s="43" t="n">
        <v>46290</v>
      </c>
      <c r="C201" s="41" t="inlineStr">
        <is>
          <t>EMKT</t>
        </is>
      </c>
      <c r="D201" s="41" t="inlineStr">
        <is>
          <t>Dividend</t>
        </is>
      </c>
      <c r="E201" s="70" t="n">
        <v>43.6033</v>
      </c>
      <c r="F201" s="71" t="n">
        <v>0.3</v>
      </c>
      <c r="G201" s="72" t="n">
        <v>0</v>
      </c>
      <c r="H201" s="73" t="n"/>
      <c r="I201" s="74">
        <f>IF(OR(E201="",F201=""),"",E201*F201)</f>
        <v/>
      </c>
      <c r="J201" s="75">
        <f>IF(I201="","",IF(D201="Buy",I201+N(G201),IF(D201="Sell",I201-N(G201),IF(D201="Dividend",I201-N(G201),I201+N(G201)))))</f>
        <v/>
      </c>
      <c r="K201" s="76">
        <f>IF(B201="","",DATE(YEAR(B201),MONTH(B201),1))</f>
        <v/>
      </c>
      <c r="L201" s="77">
        <f>IF(B201="","",YEAR(B201))</f>
        <v/>
      </c>
    </row>
    <row r="202" ht="19" customHeight="1">
      <c r="A202" s="69">
        <f>IF(B202="","",ROW()-5)</f>
        <v/>
      </c>
      <c r="B202" s="43" t="n">
        <v>46290</v>
      </c>
      <c r="C202" s="41" t="inlineStr">
        <is>
          <t>AGGB</t>
        </is>
      </c>
      <c r="D202" s="41" t="inlineStr">
        <is>
          <t>Dividend</t>
        </is>
      </c>
      <c r="E202" s="70" t="n">
        <v>52.2153</v>
      </c>
      <c r="F202" s="71" t="n">
        <v>0.48</v>
      </c>
      <c r="G202" s="72" t="n">
        <v>0</v>
      </c>
      <c r="H202" s="73" t="n"/>
      <c r="I202" s="74">
        <f>IF(OR(E202="",F202=""),"",E202*F202)</f>
        <v/>
      </c>
      <c r="J202" s="75">
        <f>IF(I202="","",IF(D202="Buy",I202+N(G202),IF(D202="Sell",I202-N(G202),IF(D202="Dividend",I202-N(G202),I202+N(G202)))))</f>
        <v/>
      </c>
      <c r="K202" s="76">
        <f>IF(B202="","",DATE(YEAR(B202),MONTH(B202),1))</f>
        <v/>
      </c>
      <c r="L202" s="77">
        <f>IF(B202="","",YEAR(B202))</f>
        <v/>
      </c>
    </row>
    <row r="203" ht="19" customHeight="1">
      <c r="A203" s="69">
        <f>IF(B203="","",ROW()-5)</f>
        <v/>
      </c>
      <c r="B203" s="43" t="n">
        <v>46290</v>
      </c>
      <c r="C203" s="41" t="inlineStr">
        <is>
          <t>TECH</t>
        </is>
      </c>
      <c r="D203" s="41" t="inlineStr">
        <is>
          <t>Dividend</t>
        </is>
      </c>
      <c r="E203" s="70" t="n">
        <v>17.8</v>
      </c>
      <c r="F203" s="71" t="n">
        <v>0.27</v>
      </c>
      <c r="G203" s="72" t="n">
        <v>0</v>
      </c>
      <c r="H203" s="73" t="n"/>
      <c r="I203" s="74">
        <f>IF(OR(E203="",F203=""),"",E203*F203)</f>
        <v/>
      </c>
      <c r="J203" s="75">
        <f>IF(I203="","",IF(D203="Buy",I203+N(G203),IF(D203="Sell",I203-N(G203),IF(D203="Dividend",I203-N(G203),I203+N(G203)))))</f>
        <v/>
      </c>
      <c r="K203" s="76">
        <f>IF(B203="","",DATE(YEAR(B203),MONTH(B203),1))</f>
        <v/>
      </c>
      <c r="L203" s="77">
        <f>IF(B203="","",YEAR(B203))</f>
        <v/>
      </c>
    </row>
    <row r="204" ht="19" customHeight="1">
      <c r="A204" s="69">
        <f>IF(B204="","",ROW()-5)</f>
        <v/>
      </c>
      <c r="B204" s="43" t="n">
        <v>46290</v>
      </c>
      <c r="C204" s="41" t="inlineStr">
        <is>
          <t>BANK</t>
        </is>
      </c>
      <c r="D204" s="41" t="inlineStr">
        <is>
          <t>Dividend</t>
        </is>
      </c>
      <c r="E204" s="70" t="n">
        <v>84</v>
      </c>
      <c r="F204" s="71" t="n">
        <v>0.5600000000000001</v>
      </c>
      <c r="G204" s="72" t="n">
        <v>0</v>
      </c>
      <c r="H204" s="73" t="n"/>
      <c r="I204" s="74">
        <f>IF(OR(E204="",F204=""),"",E204*F204)</f>
        <v/>
      </c>
      <c r="J204" s="75">
        <f>IF(I204="","",IF(D204="Buy",I204+N(G204),IF(D204="Sell",I204-N(G204),IF(D204="Dividend",I204-N(G204),I204+N(G204)))))</f>
        <v/>
      </c>
      <c r="K204" s="76">
        <f>IF(B204="","",DATE(YEAR(B204),MONTH(B204),1))</f>
        <v/>
      </c>
      <c r="L204" s="77">
        <f>IF(B204="","",YEAR(B204))</f>
        <v/>
      </c>
    </row>
    <row r="205" ht="19" customHeight="1">
      <c r="A205" s="69">
        <f>IF(B205="","",ROW()-5)</f>
        <v/>
      </c>
      <c r="B205" s="43" t="n">
        <v>46290</v>
      </c>
      <c r="C205" s="41" t="inlineStr">
        <is>
          <t>HLTH</t>
        </is>
      </c>
      <c r="D205" s="41" t="inlineStr">
        <is>
          <t>Dividend</t>
        </is>
      </c>
      <c r="E205" s="70" t="n">
        <v>32</v>
      </c>
      <c r="F205" s="71" t="n">
        <v>0.8</v>
      </c>
      <c r="G205" s="72" t="n">
        <v>0</v>
      </c>
      <c r="H205" s="73" t="n"/>
      <c r="I205" s="74">
        <f>IF(OR(E205="",F205=""),"",E205*F205)</f>
        <v/>
      </c>
      <c r="J205" s="75">
        <f>IF(I205="","",IF(D205="Buy",I205+N(G205),IF(D205="Sell",I205-N(G205),IF(D205="Dividend",I205-N(G205),I205+N(G205)))))</f>
        <v/>
      </c>
      <c r="K205" s="76">
        <f>IF(B205="","",DATE(YEAR(B205),MONTH(B205),1))</f>
        <v/>
      </c>
      <c r="L205" s="77">
        <f>IF(B205="","",YEAR(B205))</f>
        <v/>
      </c>
    </row>
    <row r="206" ht="19" customHeight="1">
      <c r="A206" s="69">
        <f>IF(B206="","",ROW()-5)</f>
        <v/>
      </c>
      <c r="B206" s="43" t="n">
        <v>46290</v>
      </c>
      <c r="C206" s="41" t="inlineStr">
        <is>
          <t>ENRG</t>
        </is>
      </c>
      <c r="D206" s="41" t="inlineStr">
        <is>
          <t>Dividend</t>
        </is>
      </c>
      <c r="E206" s="70" t="n">
        <v>58.8</v>
      </c>
      <c r="F206" s="71" t="n">
        <v>0.34</v>
      </c>
      <c r="G206" s="72" t="n">
        <v>0</v>
      </c>
      <c r="H206" s="73" t="n"/>
      <c r="I206" s="74">
        <f>IF(OR(E206="",F206=""),"",E206*F206)</f>
        <v/>
      </c>
      <c r="J206" s="75">
        <f>IF(I206="","",IF(D206="Buy",I206+N(G206),IF(D206="Sell",I206-N(G206),IF(D206="Dividend",I206-N(G206),I206+N(G206)))))</f>
        <v/>
      </c>
      <c r="K206" s="76">
        <f>IF(B206="","",DATE(YEAR(B206),MONTH(B206),1))</f>
        <v/>
      </c>
      <c r="L206" s="77">
        <f>IF(B206="","",YEAR(B206))</f>
        <v/>
      </c>
    </row>
    <row r="207" ht="19" customHeight="1">
      <c r="A207" s="69">
        <f>IF(B207="","",ROW()-5)</f>
        <v/>
      </c>
      <c r="B207" s="43" t="n">
        <v>46290</v>
      </c>
      <c r="C207" s="41" t="inlineStr">
        <is>
          <t>CONS</t>
        </is>
      </c>
      <c r="D207" s="41" t="inlineStr">
        <is>
          <t>Dividend</t>
        </is>
      </c>
      <c r="E207" s="70" t="n">
        <v>82</v>
      </c>
      <c r="F207" s="71" t="n">
        <v>0.63</v>
      </c>
      <c r="G207" s="72" t="n">
        <v>0</v>
      </c>
      <c r="H207" s="73" t="n"/>
      <c r="I207" s="74">
        <f>IF(OR(E207="",F207=""),"",E207*F207)</f>
        <v/>
      </c>
      <c r="J207" s="75">
        <f>IF(I207="","",IF(D207="Buy",I207+N(G207),IF(D207="Sell",I207-N(G207),IF(D207="Dividend",I207-N(G207),I207+N(G207)))))</f>
        <v/>
      </c>
      <c r="K207" s="76">
        <f>IF(B207="","",DATE(YEAR(B207),MONTH(B207),1))</f>
        <v/>
      </c>
      <c r="L207" s="77">
        <f>IF(B207="","",YEAR(B207))</f>
        <v/>
      </c>
    </row>
    <row r="208" ht="19" customHeight="1">
      <c r="A208" s="69">
        <f>IF(B208="","",ROW()-5)</f>
        <v/>
      </c>
      <c r="B208" s="43" t="n">
        <v>46290</v>
      </c>
      <c r="C208" s="41" t="inlineStr">
        <is>
          <t>PROP</t>
        </is>
      </c>
      <c r="D208" s="41" t="inlineStr">
        <is>
          <t>Dividend</t>
        </is>
      </c>
      <c r="E208" s="70" t="n">
        <v>50</v>
      </c>
      <c r="F208" s="71" t="n">
        <v>0.41</v>
      </c>
      <c r="G208" s="72" t="n">
        <v>0</v>
      </c>
      <c r="H208" s="73" t="n"/>
      <c r="I208" s="74">
        <f>IF(OR(E208="",F208=""),"",E208*F208)</f>
        <v/>
      </c>
      <c r="J208" s="75">
        <f>IF(I208="","",IF(D208="Buy",I208+N(G208),IF(D208="Sell",I208-N(G208),IF(D208="Dividend",I208-N(G208),I208+N(G208)))))</f>
        <v/>
      </c>
      <c r="K208" s="76">
        <f>IF(B208="","",DATE(YEAR(B208),MONTH(B208),1))</f>
        <v/>
      </c>
      <c r="L208" s="77">
        <f>IF(B208="","",YEAR(B208))</f>
        <v/>
      </c>
    </row>
    <row r="209" ht="19" customHeight="1">
      <c r="A209" s="69">
        <f>IF(B209="","",ROW()-5)</f>
        <v/>
      </c>
      <c r="B209" s="43" t="n">
        <v>46298</v>
      </c>
      <c r="C209" s="41" t="inlineStr">
        <is>
          <t>WRLD</t>
        </is>
      </c>
      <c r="D209" s="41" t="inlineStr">
        <is>
          <t>Buy</t>
        </is>
      </c>
      <c r="E209" s="70" t="n">
        <v>2.1902</v>
      </c>
      <c r="F209" s="71" t="n">
        <v>114.14</v>
      </c>
      <c r="G209" s="72" t="n">
        <v>1</v>
      </c>
      <c r="H209" s="73" t="n"/>
      <c r="I209" s="74">
        <f>IF(OR(E209="",F209=""),"",E209*F209)</f>
        <v/>
      </c>
      <c r="J209" s="75">
        <f>IF(I209="","",IF(D209="Buy",I209+N(G209),IF(D209="Sell",I209-N(G209),IF(D209="Dividend",I209-N(G209),I209+N(G209)))))</f>
        <v/>
      </c>
      <c r="K209" s="76">
        <f>IF(B209="","",DATE(YEAR(B209),MONTH(B209),1))</f>
        <v/>
      </c>
      <c r="L209" s="77">
        <f>IF(B209="","",YEAR(B209))</f>
        <v/>
      </c>
    </row>
    <row r="210" ht="19" customHeight="1">
      <c r="A210" s="69">
        <f>IF(B210="","",ROW()-5)</f>
        <v/>
      </c>
      <c r="B210" s="43" t="n">
        <v>46298</v>
      </c>
      <c r="C210" s="41" t="inlineStr">
        <is>
          <t>USMK</t>
        </is>
      </c>
      <c r="D210" s="41" t="inlineStr">
        <is>
          <t>Buy</t>
        </is>
      </c>
      <c r="E210" s="70" t="n">
        <v>1.4027</v>
      </c>
      <c r="F210" s="71" t="n">
        <v>142.58</v>
      </c>
      <c r="G210" s="72" t="n">
        <v>1</v>
      </c>
      <c r="H210" s="73" t="n"/>
      <c r="I210" s="74">
        <f>IF(OR(E210="",F210=""),"",E210*F210)</f>
        <v/>
      </c>
      <c r="J210" s="75">
        <f>IF(I210="","",IF(D210="Buy",I210+N(G210),IF(D210="Sell",I210-N(G210),IF(D210="Dividend",I210-N(G210),I210+N(G210)))))</f>
        <v/>
      </c>
      <c r="K210" s="76">
        <f>IF(B210="","",DATE(YEAR(B210),MONTH(B210),1))</f>
        <v/>
      </c>
      <c r="L210" s="77">
        <f>IF(B210="","",YEAR(B210))</f>
        <v/>
      </c>
    </row>
    <row r="211" ht="19" customHeight="1">
      <c r="A211" s="69">
        <f>IF(B211="","",ROW()-5)</f>
        <v/>
      </c>
      <c r="B211" s="43" t="n">
        <v>46298</v>
      </c>
      <c r="C211" s="41" t="inlineStr">
        <is>
          <t>AGGB</t>
        </is>
      </c>
      <c r="D211" s="41" t="inlineStr">
        <is>
          <t>Buy</t>
        </is>
      </c>
      <c r="E211" s="70" t="n">
        <v>1.9002</v>
      </c>
      <c r="F211" s="71" t="n">
        <v>78.94</v>
      </c>
      <c r="G211" s="72" t="n">
        <v>1</v>
      </c>
      <c r="H211" s="73" t="n"/>
      <c r="I211" s="74">
        <f>IF(OR(E211="",F211=""),"",E211*F211)</f>
        <v/>
      </c>
      <c r="J211" s="75">
        <f>IF(I211="","",IF(D211="Buy",I211+N(G211),IF(D211="Sell",I211-N(G211),IF(D211="Dividend",I211-N(G211),I211+N(G211)))))</f>
        <v/>
      </c>
      <c r="K211" s="76">
        <f>IF(B211="","",DATE(YEAR(B211),MONTH(B211),1))</f>
        <v/>
      </c>
      <c r="L211" s="77">
        <f>IF(B211="","",YEAR(B211))</f>
        <v/>
      </c>
    </row>
    <row r="212" ht="19" customHeight="1">
      <c r="A212" s="69">
        <f>IF(B212="","",ROW()-5)</f>
        <v/>
      </c>
      <c r="B212" s="43" t="n">
        <v>46298</v>
      </c>
      <c r="C212" s="41" t="inlineStr">
        <is>
          <t>EMKT</t>
        </is>
      </c>
      <c r="D212" s="41" t="inlineStr">
        <is>
          <t>Buy</t>
        </is>
      </c>
      <c r="E212" s="70" t="n">
        <v>1.619</v>
      </c>
      <c r="F212" s="71" t="n">
        <v>61.77</v>
      </c>
      <c r="G212" s="72" t="n">
        <v>1</v>
      </c>
      <c r="H212" s="73" t="n"/>
      <c r="I212" s="74">
        <f>IF(OR(E212="",F212=""),"",E212*F212)</f>
        <v/>
      </c>
      <c r="J212" s="75">
        <f>IF(I212="","",IF(D212="Buy",I212+N(G212),IF(D212="Sell",I212-N(G212),IF(D212="Dividend",I212-N(G212),I212+N(G212)))))</f>
        <v/>
      </c>
      <c r="K212" s="76">
        <f>IF(B212="","",DATE(YEAR(B212),MONTH(B212),1))</f>
        <v/>
      </c>
      <c r="L212" s="77">
        <f>IF(B212="","",YEAR(B212))</f>
        <v/>
      </c>
    </row>
    <row r="213" ht="19" customHeight="1">
      <c r="A213" s="69">
        <f>IF(B213="","",ROW()-5)</f>
        <v/>
      </c>
      <c r="B213" s="43" t="n">
        <v>46307</v>
      </c>
      <c r="C213" s="41" t="inlineStr">
        <is>
          <t>TECH</t>
        </is>
      </c>
      <c r="D213" s="41" t="inlineStr">
        <is>
          <t>Buy</t>
        </is>
      </c>
      <c r="E213" s="70" t="n">
        <v>4</v>
      </c>
      <c r="F213" s="71" t="n">
        <v>364.21</v>
      </c>
      <c r="G213" s="72" t="n">
        <v>1.5</v>
      </c>
      <c r="H213" s="73" t="n"/>
      <c r="I213" s="74">
        <f>IF(OR(E213="",F213=""),"",E213*F213)</f>
        <v/>
      </c>
      <c r="J213" s="75">
        <f>IF(I213="","",IF(D213="Buy",I213+N(G213),IF(D213="Sell",I213-N(G213),IF(D213="Dividend",I213-N(G213),I213+N(G213)))))</f>
        <v/>
      </c>
      <c r="K213" s="76">
        <f>IF(B213="","",DATE(YEAR(B213),MONTH(B213),1))</f>
        <v/>
      </c>
      <c r="L213" s="77">
        <f>IF(B213="","",YEAR(B213))</f>
        <v/>
      </c>
    </row>
    <row r="214" ht="19" customHeight="1">
      <c r="A214" s="69">
        <f>IF(B214="","",ROW()-5)</f>
        <v/>
      </c>
      <c r="B214" s="43" t="n">
        <v>46311</v>
      </c>
      <c r="C214" s="41" t="inlineStr">
        <is>
          <t>BANK</t>
        </is>
      </c>
      <c r="D214" s="41" t="inlineStr">
        <is>
          <t>Buy</t>
        </is>
      </c>
      <c r="E214" s="70" t="n">
        <v>6</v>
      </c>
      <c r="F214" s="71" t="n">
        <v>99.89</v>
      </c>
      <c r="G214" s="72" t="n">
        <v>1.5</v>
      </c>
      <c r="H214" s="73" t="n"/>
      <c r="I214" s="74">
        <f>IF(OR(E214="",F214=""),"",E214*F214)</f>
        <v/>
      </c>
      <c r="J214" s="75">
        <f>IF(I214="","",IF(D214="Buy",I214+N(G214),IF(D214="Sell",I214-N(G214),IF(D214="Dividend",I214-N(G214),I214+N(G214)))))</f>
        <v/>
      </c>
      <c r="K214" s="76">
        <f>IF(B214="","",DATE(YEAR(B214),MONTH(B214),1))</f>
        <v/>
      </c>
      <c r="L214" s="77">
        <f>IF(B214="","",YEAR(B214))</f>
        <v/>
      </c>
    </row>
    <row r="215" ht="19" customHeight="1">
      <c r="A215" s="69">
        <f>IF(B215="","",ROW()-5)</f>
        <v/>
      </c>
      <c r="B215" s="43" t="n"/>
      <c r="C215" s="41" t="n"/>
      <c r="D215" s="41" t="n"/>
      <c r="E215" s="70" t="n"/>
      <c r="F215" s="71" t="n"/>
      <c r="G215" s="72" t="n"/>
      <c r="H215" s="73" t="n"/>
      <c r="I215" s="74">
        <f>IF(OR(E215="",F215=""),"",E215*F215)</f>
        <v/>
      </c>
      <c r="J215" s="75">
        <f>IF(I215="","",IF(D215="Buy",I215+N(G215),IF(D215="Sell",I215-N(G215),IF(D215="Dividend",I215-N(G215),I215+N(G215)))))</f>
        <v/>
      </c>
      <c r="K215" s="76">
        <f>IF(B215="","",DATE(YEAR(B215),MONTH(B215),1))</f>
        <v/>
      </c>
      <c r="L215" s="77">
        <f>IF(B215="","",YEAR(B215))</f>
        <v/>
      </c>
    </row>
    <row r="216" ht="19" customHeight="1">
      <c r="A216" s="69">
        <f>IF(B216="","",ROW()-5)</f>
        <v/>
      </c>
      <c r="B216" s="43" t="n"/>
      <c r="C216" s="41" t="n"/>
      <c r="D216" s="41" t="n"/>
      <c r="E216" s="70" t="n"/>
      <c r="F216" s="71" t="n"/>
      <c r="G216" s="72" t="n"/>
      <c r="H216" s="73" t="n"/>
      <c r="I216" s="74">
        <f>IF(OR(E216="",F216=""),"",E216*F216)</f>
        <v/>
      </c>
      <c r="J216" s="75">
        <f>IF(I216="","",IF(D216="Buy",I216+N(G216),IF(D216="Sell",I216-N(G216),IF(D216="Dividend",I216-N(G216),I216+N(G216)))))</f>
        <v/>
      </c>
      <c r="K216" s="76">
        <f>IF(B216="","",DATE(YEAR(B216),MONTH(B216),1))</f>
        <v/>
      </c>
      <c r="L216" s="77">
        <f>IF(B216="","",YEAR(B216))</f>
        <v/>
      </c>
    </row>
    <row r="217" ht="19" customHeight="1">
      <c r="A217" s="69">
        <f>IF(B217="","",ROW()-5)</f>
        <v/>
      </c>
      <c r="B217" s="43" t="n"/>
      <c r="C217" s="41" t="n"/>
      <c r="D217" s="41" t="n"/>
      <c r="E217" s="70" t="n"/>
      <c r="F217" s="71" t="n"/>
      <c r="G217" s="72" t="n"/>
      <c r="H217" s="73" t="n"/>
      <c r="I217" s="74">
        <f>IF(OR(E217="",F217=""),"",E217*F217)</f>
        <v/>
      </c>
      <c r="J217" s="75">
        <f>IF(I217="","",IF(D217="Buy",I217+N(G217),IF(D217="Sell",I217-N(G217),IF(D217="Dividend",I217-N(G217),I217+N(G217)))))</f>
        <v/>
      </c>
      <c r="K217" s="76">
        <f>IF(B217="","",DATE(YEAR(B217),MONTH(B217),1))</f>
        <v/>
      </c>
      <c r="L217" s="77">
        <f>IF(B217="","",YEAR(B217))</f>
        <v/>
      </c>
    </row>
    <row r="218" ht="19" customHeight="1">
      <c r="A218" s="69">
        <f>IF(B218="","",ROW()-5)</f>
        <v/>
      </c>
      <c r="B218" s="43" t="n"/>
      <c r="C218" s="41" t="n"/>
      <c r="D218" s="41" t="n"/>
      <c r="E218" s="70" t="n"/>
      <c r="F218" s="71" t="n"/>
      <c r="G218" s="72" t="n"/>
      <c r="H218" s="73" t="n"/>
      <c r="I218" s="74">
        <f>IF(OR(E218="",F218=""),"",E218*F218)</f>
        <v/>
      </c>
      <c r="J218" s="75">
        <f>IF(I218="","",IF(D218="Buy",I218+N(G218),IF(D218="Sell",I218-N(G218),IF(D218="Dividend",I218-N(G218),I218+N(G218)))))</f>
        <v/>
      </c>
      <c r="K218" s="76">
        <f>IF(B218="","",DATE(YEAR(B218),MONTH(B218),1))</f>
        <v/>
      </c>
      <c r="L218" s="77">
        <f>IF(B218="","",YEAR(B218))</f>
        <v/>
      </c>
    </row>
    <row r="219" ht="19" customHeight="1">
      <c r="A219" s="69">
        <f>IF(B219="","",ROW()-5)</f>
        <v/>
      </c>
      <c r="B219" s="43" t="n"/>
      <c r="C219" s="41" t="n"/>
      <c r="D219" s="41" t="n"/>
      <c r="E219" s="70" t="n"/>
      <c r="F219" s="71" t="n"/>
      <c r="G219" s="72" t="n"/>
      <c r="H219" s="73" t="n"/>
      <c r="I219" s="74">
        <f>IF(OR(E219="",F219=""),"",E219*F219)</f>
        <v/>
      </c>
      <c r="J219" s="75">
        <f>IF(I219="","",IF(D219="Buy",I219+N(G219),IF(D219="Sell",I219-N(G219),IF(D219="Dividend",I219-N(G219),I219+N(G219)))))</f>
        <v/>
      </c>
      <c r="K219" s="76">
        <f>IF(B219="","",DATE(YEAR(B219),MONTH(B219),1))</f>
        <v/>
      </c>
      <c r="L219" s="77">
        <f>IF(B219="","",YEAR(B219))</f>
        <v/>
      </c>
    </row>
    <row r="220" ht="19" customHeight="1">
      <c r="A220" s="69">
        <f>IF(B220="","",ROW()-5)</f>
        <v/>
      </c>
      <c r="B220" s="43" t="n"/>
      <c r="C220" s="41" t="n"/>
      <c r="D220" s="41" t="n"/>
      <c r="E220" s="70" t="n"/>
      <c r="F220" s="71" t="n"/>
      <c r="G220" s="72" t="n"/>
      <c r="H220" s="73" t="n"/>
      <c r="I220" s="74">
        <f>IF(OR(E220="",F220=""),"",E220*F220)</f>
        <v/>
      </c>
      <c r="J220" s="75">
        <f>IF(I220="","",IF(D220="Buy",I220+N(G220),IF(D220="Sell",I220-N(G220),IF(D220="Dividend",I220-N(G220),I220+N(G220)))))</f>
        <v/>
      </c>
      <c r="K220" s="76">
        <f>IF(B220="","",DATE(YEAR(B220),MONTH(B220),1))</f>
        <v/>
      </c>
      <c r="L220" s="77">
        <f>IF(B220="","",YEAR(B220))</f>
        <v/>
      </c>
    </row>
    <row r="221" ht="19" customHeight="1">
      <c r="A221" s="69">
        <f>IF(B221="","",ROW()-5)</f>
        <v/>
      </c>
      <c r="B221" s="43" t="n"/>
      <c r="C221" s="41" t="n"/>
      <c r="D221" s="41" t="n"/>
      <c r="E221" s="70" t="n"/>
      <c r="F221" s="71" t="n"/>
      <c r="G221" s="72" t="n"/>
      <c r="H221" s="73" t="n"/>
      <c r="I221" s="74">
        <f>IF(OR(E221="",F221=""),"",E221*F221)</f>
        <v/>
      </c>
      <c r="J221" s="75">
        <f>IF(I221="","",IF(D221="Buy",I221+N(G221),IF(D221="Sell",I221-N(G221),IF(D221="Dividend",I221-N(G221),I221+N(G221)))))</f>
        <v/>
      </c>
      <c r="K221" s="76">
        <f>IF(B221="","",DATE(YEAR(B221),MONTH(B221),1))</f>
        <v/>
      </c>
      <c r="L221" s="77">
        <f>IF(B221="","",YEAR(B221))</f>
        <v/>
      </c>
    </row>
    <row r="222" ht="19" customHeight="1">
      <c r="A222" s="69">
        <f>IF(B222="","",ROW()-5)</f>
        <v/>
      </c>
      <c r="B222" s="43" t="n"/>
      <c r="C222" s="41" t="n"/>
      <c r="D222" s="41" t="n"/>
      <c r="E222" s="70" t="n"/>
      <c r="F222" s="71" t="n"/>
      <c r="G222" s="72" t="n"/>
      <c r="H222" s="73" t="n"/>
      <c r="I222" s="74">
        <f>IF(OR(E222="",F222=""),"",E222*F222)</f>
        <v/>
      </c>
      <c r="J222" s="75">
        <f>IF(I222="","",IF(D222="Buy",I222+N(G222),IF(D222="Sell",I222-N(G222),IF(D222="Dividend",I222-N(G222),I222+N(G222)))))</f>
        <v/>
      </c>
      <c r="K222" s="76">
        <f>IF(B222="","",DATE(YEAR(B222),MONTH(B222),1))</f>
        <v/>
      </c>
      <c r="L222" s="77">
        <f>IF(B222="","",YEAR(B222))</f>
        <v/>
      </c>
    </row>
    <row r="223" ht="19" customHeight="1">
      <c r="A223" s="69">
        <f>IF(B223="","",ROW()-5)</f>
        <v/>
      </c>
      <c r="B223" s="43" t="n"/>
      <c r="C223" s="41" t="n"/>
      <c r="D223" s="41" t="n"/>
      <c r="E223" s="70" t="n"/>
      <c r="F223" s="71" t="n"/>
      <c r="G223" s="72" t="n"/>
      <c r="H223" s="73" t="n"/>
      <c r="I223" s="74">
        <f>IF(OR(E223="",F223=""),"",E223*F223)</f>
        <v/>
      </c>
      <c r="J223" s="75">
        <f>IF(I223="","",IF(D223="Buy",I223+N(G223),IF(D223="Sell",I223-N(G223),IF(D223="Dividend",I223-N(G223),I223+N(G223)))))</f>
        <v/>
      </c>
      <c r="K223" s="76">
        <f>IF(B223="","",DATE(YEAR(B223),MONTH(B223),1))</f>
        <v/>
      </c>
      <c r="L223" s="77">
        <f>IF(B223="","",YEAR(B223))</f>
        <v/>
      </c>
    </row>
    <row r="224" ht="19" customHeight="1">
      <c r="A224" s="69">
        <f>IF(B224="","",ROW()-5)</f>
        <v/>
      </c>
      <c r="B224" s="43" t="n"/>
      <c r="C224" s="41" t="n"/>
      <c r="D224" s="41" t="n"/>
      <c r="E224" s="70" t="n"/>
      <c r="F224" s="71" t="n"/>
      <c r="G224" s="72" t="n"/>
      <c r="H224" s="73" t="n"/>
      <c r="I224" s="74">
        <f>IF(OR(E224="",F224=""),"",E224*F224)</f>
        <v/>
      </c>
      <c r="J224" s="75">
        <f>IF(I224="","",IF(D224="Buy",I224+N(G224),IF(D224="Sell",I224-N(G224),IF(D224="Dividend",I224-N(G224),I224+N(G224)))))</f>
        <v/>
      </c>
      <c r="K224" s="76">
        <f>IF(B224="","",DATE(YEAR(B224),MONTH(B224),1))</f>
        <v/>
      </c>
      <c r="L224" s="77">
        <f>IF(B224="","",YEAR(B224))</f>
        <v/>
      </c>
    </row>
    <row r="225" ht="19" customHeight="1">
      <c r="A225" s="69">
        <f>IF(B225="","",ROW()-5)</f>
        <v/>
      </c>
      <c r="B225" s="43" t="n"/>
      <c r="C225" s="41" t="n"/>
      <c r="D225" s="41" t="n"/>
      <c r="E225" s="70" t="n"/>
      <c r="F225" s="71" t="n"/>
      <c r="G225" s="72" t="n"/>
      <c r="H225" s="73" t="n"/>
      <c r="I225" s="74">
        <f>IF(OR(E225="",F225=""),"",E225*F225)</f>
        <v/>
      </c>
      <c r="J225" s="75">
        <f>IF(I225="","",IF(D225="Buy",I225+N(G225),IF(D225="Sell",I225-N(G225),IF(D225="Dividend",I225-N(G225),I225+N(G225)))))</f>
        <v/>
      </c>
      <c r="K225" s="76">
        <f>IF(B225="","",DATE(YEAR(B225),MONTH(B225),1))</f>
        <v/>
      </c>
      <c r="L225" s="77">
        <f>IF(B225="","",YEAR(B225))</f>
        <v/>
      </c>
    </row>
    <row r="226" ht="19" customHeight="1">
      <c r="A226" s="69">
        <f>IF(B226="","",ROW()-5)</f>
        <v/>
      </c>
      <c r="B226" s="43" t="n"/>
      <c r="C226" s="41" t="n"/>
      <c r="D226" s="41" t="n"/>
      <c r="E226" s="70" t="n"/>
      <c r="F226" s="71" t="n"/>
      <c r="G226" s="72" t="n"/>
      <c r="H226" s="73" t="n"/>
      <c r="I226" s="74">
        <f>IF(OR(E226="",F226=""),"",E226*F226)</f>
        <v/>
      </c>
      <c r="J226" s="75">
        <f>IF(I226="","",IF(D226="Buy",I226+N(G226),IF(D226="Sell",I226-N(G226),IF(D226="Dividend",I226-N(G226),I226+N(G226)))))</f>
        <v/>
      </c>
      <c r="K226" s="76">
        <f>IF(B226="","",DATE(YEAR(B226),MONTH(B226),1))</f>
        <v/>
      </c>
      <c r="L226" s="77">
        <f>IF(B226="","",YEAR(B226))</f>
        <v/>
      </c>
    </row>
    <row r="227" ht="19" customHeight="1">
      <c r="A227" s="69">
        <f>IF(B227="","",ROW()-5)</f>
        <v/>
      </c>
      <c r="B227" s="43" t="n"/>
      <c r="C227" s="41" t="n"/>
      <c r="D227" s="41" t="n"/>
      <c r="E227" s="70" t="n"/>
      <c r="F227" s="71" t="n"/>
      <c r="G227" s="72" t="n"/>
      <c r="H227" s="73" t="n"/>
      <c r="I227" s="74">
        <f>IF(OR(E227="",F227=""),"",E227*F227)</f>
        <v/>
      </c>
      <c r="J227" s="75">
        <f>IF(I227="","",IF(D227="Buy",I227+N(G227),IF(D227="Sell",I227-N(G227),IF(D227="Dividend",I227-N(G227),I227+N(G227)))))</f>
        <v/>
      </c>
      <c r="K227" s="76">
        <f>IF(B227="","",DATE(YEAR(B227),MONTH(B227),1))</f>
        <v/>
      </c>
      <c r="L227" s="77">
        <f>IF(B227="","",YEAR(B227))</f>
        <v/>
      </c>
    </row>
    <row r="228" ht="19" customHeight="1">
      <c r="A228" s="69">
        <f>IF(B228="","",ROW()-5)</f>
        <v/>
      </c>
      <c r="B228" s="43" t="n"/>
      <c r="C228" s="41" t="n"/>
      <c r="D228" s="41" t="n"/>
      <c r="E228" s="70" t="n"/>
      <c r="F228" s="71" t="n"/>
      <c r="G228" s="72" t="n"/>
      <c r="H228" s="73" t="n"/>
      <c r="I228" s="74">
        <f>IF(OR(E228="",F228=""),"",E228*F228)</f>
        <v/>
      </c>
      <c r="J228" s="75">
        <f>IF(I228="","",IF(D228="Buy",I228+N(G228),IF(D228="Sell",I228-N(G228),IF(D228="Dividend",I228-N(G228),I228+N(G228)))))</f>
        <v/>
      </c>
      <c r="K228" s="76">
        <f>IF(B228="","",DATE(YEAR(B228),MONTH(B228),1))</f>
        <v/>
      </c>
      <c r="L228" s="77">
        <f>IF(B228="","",YEAR(B228))</f>
        <v/>
      </c>
    </row>
    <row r="229" ht="19" customHeight="1">
      <c r="A229" s="69">
        <f>IF(B229="","",ROW()-5)</f>
        <v/>
      </c>
      <c r="B229" s="43" t="n"/>
      <c r="C229" s="41" t="n"/>
      <c r="D229" s="41" t="n"/>
      <c r="E229" s="70" t="n"/>
      <c r="F229" s="71" t="n"/>
      <c r="G229" s="72" t="n"/>
      <c r="H229" s="73" t="n"/>
      <c r="I229" s="74">
        <f>IF(OR(E229="",F229=""),"",E229*F229)</f>
        <v/>
      </c>
      <c r="J229" s="75">
        <f>IF(I229="","",IF(D229="Buy",I229+N(G229),IF(D229="Sell",I229-N(G229),IF(D229="Dividend",I229-N(G229),I229+N(G229)))))</f>
        <v/>
      </c>
      <c r="K229" s="76">
        <f>IF(B229="","",DATE(YEAR(B229),MONTH(B229),1))</f>
        <v/>
      </c>
      <c r="L229" s="77">
        <f>IF(B229="","",YEAR(B229))</f>
        <v/>
      </c>
    </row>
    <row r="230" ht="19" customHeight="1">
      <c r="A230" s="69">
        <f>IF(B230="","",ROW()-5)</f>
        <v/>
      </c>
      <c r="B230" s="43" t="n"/>
      <c r="C230" s="41" t="n"/>
      <c r="D230" s="41" t="n"/>
      <c r="E230" s="70" t="n"/>
      <c r="F230" s="71" t="n"/>
      <c r="G230" s="72" t="n"/>
      <c r="H230" s="73" t="n"/>
      <c r="I230" s="74">
        <f>IF(OR(E230="",F230=""),"",E230*F230)</f>
        <v/>
      </c>
      <c r="J230" s="75">
        <f>IF(I230="","",IF(D230="Buy",I230+N(G230),IF(D230="Sell",I230-N(G230),IF(D230="Dividend",I230-N(G230),I230+N(G230)))))</f>
        <v/>
      </c>
      <c r="K230" s="76">
        <f>IF(B230="","",DATE(YEAR(B230),MONTH(B230),1))</f>
        <v/>
      </c>
      <c r="L230" s="77">
        <f>IF(B230="","",YEAR(B230))</f>
        <v/>
      </c>
    </row>
    <row r="231" ht="19" customHeight="1">
      <c r="A231" s="69">
        <f>IF(B231="","",ROW()-5)</f>
        <v/>
      </c>
      <c r="B231" s="43" t="n"/>
      <c r="C231" s="41" t="n"/>
      <c r="D231" s="41" t="n"/>
      <c r="E231" s="70" t="n"/>
      <c r="F231" s="71" t="n"/>
      <c r="G231" s="72" t="n"/>
      <c r="H231" s="73" t="n"/>
      <c r="I231" s="74">
        <f>IF(OR(E231="",F231=""),"",E231*F231)</f>
        <v/>
      </c>
      <c r="J231" s="75">
        <f>IF(I231="","",IF(D231="Buy",I231+N(G231),IF(D231="Sell",I231-N(G231),IF(D231="Dividend",I231-N(G231),I231+N(G231)))))</f>
        <v/>
      </c>
      <c r="K231" s="76">
        <f>IF(B231="","",DATE(YEAR(B231),MONTH(B231),1))</f>
        <v/>
      </c>
      <c r="L231" s="77">
        <f>IF(B231="","",YEAR(B231))</f>
        <v/>
      </c>
    </row>
    <row r="232" ht="19" customHeight="1">
      <c r="A232" s="69">
        <f>IF(B232="","",ROW()-5)</f>
        <v/>
      </c>
      <c r="B232" s="43" t="n"/>
      <c r="C232" s="41" t="n"/>
      <c r="D232" s="41" t="n"/>
      <c r="E232" s="70" t="n"/>
      <c r="F232" s="71" t="n"/>
      <c r="G232" s="72" t="n"/>
      <c r="H232" s="73" t="n"/>
      <c r="I232" s="74">
        <f>IF(OR(E232="",F232=""),"",E232*F232)</f>
        <v/>
      </c>
      <c r="J232" s="75">
        <f>IF(I232="","",IF(D232="Buy",I232+N(G232),IF(D232="Sell",I232-N(G232),IF(D232="Dividend",I232-N(G232),I232+N(G232)))))</f>
        <v/>
      </c>
      <c r="K232" s="76">
        <f>IF(B232="","",DATE(YEAR(B232),MONTH(B232),1))</f>
        <v/>
      </c>
      <c r="L232" s="77">
        <f>IF(B232="","",YEAR(B232))</f>
        <v/>
      </c>
    </row>
    <row r="233" ht="19" customHeight="1">
      <c r="A233" s="69">
        <f>IF(B233="","",ROW()-5)</f>
        <v/>
      </c>
      <c r="B233" s="43" t="n"/>
      <c r="C233" s="41" t="n"/>
      <c r="D233" s="41" t="n"/>
      <c r="E233" s="70" t="n"/>
      <c r="F233" s="71" t="n"/>
      <c r="G233" s="72" t="n"/>
      <c r="H233" s="73" t="n"/>
      <c r="I233" s="74">
        <f>IF(OR(E233="",F233=""),"",E233*F233)</f>
        <v/>
      </c>
      <c r="J233" s="75">
        <f>IF(I233="","",IF(D233="Buy",I233+N(G233),IF(D233="Sell",I233-N(G233),IF(D233="Dividend",I233-N(G233),I233+N(G233)))))</f>
        <v/>
      </c>
      <c r="K233" s="76">
        <f>IF(B233="","",DATE(YEAR(B233),MONTH(B233),1))</f>
        <v/>
      </c>
      <c r="L233" s="77">
        <f>IF(B233="","",YEAR(B233))</f>
        <v/>
      </c>
    </row>
    <row r="234" ht="19" customHeight="1">
      <c r="A234" s="69">
        <f>IF(B234="","",ROW()-5)</f>
        <v/>
      </c>
      <c r="B234" s="43" t="n"/>
      <c r="C234" s="41" t="n"/>
      <c r="D234" s="41" t="n"/>
      <c r="E234" s="70" t="n"/>
      <c r="F234" s="71" t="n"/>
      <c r="G234" s="72" t="n"/>
      <c r="H234" s="73" t="n"/>
      <c r="I234" s="74">
        <f>IF(OR(E234="",F234=""),"",E234*F234)</f>
        <v/>
      </c>
      <c r="J234" s="75">
        <f>IF(I234="","",IF(D234="Buy",I234+N(G234),IF(D234="Sell",I234-N(G234),IF(D234="Dividend",I234-N(G234),I234+N(G234)))))</f>
        <v/>
      </c>
      <c r="K234" s="76">
        <f>IF(B234="","",DATE(YEAR(B234),MONTH(B234),1))</f>
        <v/>
      </c>
      <c r="L234" s="77">
        <f>IF(B234="","",YEAR(B234))</f>
        <v/>
      </c>
    </row>
    <row r="235" ht="19" customHeight="1">
      <c r="A235" s="69">
        <f>IF(B235="","",ROW()-5)</f>
        <v/>
      </c>
      <c r="B235" s="43" t="n"/>
      <c r="C235" s="41" t="n"/>
      <c r="D235" s="41" t="n"/>
      <c r="E235" s="70" t="n"/>
      <c r="F235" s="71" t="n"/>
      <c r="G235" s="72" t="n"/>
      <c r="H235" s="73" t="n"/>
      <c r="I235" s="74">
        <f>IF(OR(E235="",F235=""),"",E235*F235)</f>
        <v/>
      </c>
      <c r="J235" s="75">
        <f>IF(I235="","",IF(D235="Buy",I235+N(G235),IF(D235="Sell",I235-N(G235),IF(D235="Dividend",I235-N(G235),I235+N(G235)))))</f>
        <v/>
      </c>
      <c r="K235" s="76">
        <f>IF(B235="","",DATE(YEAR(B235),MONTH(B235),1))</f>
        <v/>
      </c>
      <c r="L235" s="77">
        <f>IF(B235="","",YEAR(B235))</f>
        <v/>
      </c>
    </row>
    <row r="236" ht="19" customHeight="1">
      <c r="A236" s="69">
        <f>IF(B236="","",ROW()-5)</f>
        <v/>
      </c>
      <c r="B236" s="43" t="n"/>
      <c r="C236" s="41" t="n"/>
      <c r="D236" s="41" t="n"/>
      <c r="E236" s="70" t="n"/>
      <c r="F236" s="71" t="n"/>
      <c r="G236" s="72" t="n"/>
      <c r="H236" s="73" t="n"/>
      <c r="I236" s="74">
        <f>IF(OR(E236="",F236=""),"",E236*F236)</f>
        <v/>
      </c>
      <c r="J236" s="75">
        <f>IF(I236="","",IF(D236="Buy",I236+N(G236),IF(D236="Sell",I236-N(G236),IF(D236="Dividend",I236-N(G236),I236+N(G236)))))</f>
        <v/>
      </c>
      <c r="K236" s="76">
        <f>IF(B236="","",DATE(YEAR(B236),MONTH(B236),1))</f>
        <v/>
      </c>
      <c r="L236" s="77">
        <f>IF(B236="","",YEAR(B236))</f>
        <v/>
      </c>
    </row>
    <row r="237" ht="19" customHeight="1">
      <c r="A237" s="69">
        <f>IF(B237="","",ROW()-5)</f>
        <v/>
      </c>
      <c r="B237" s="43" t="n"/>
      <c r="C237" s="41" t="n"/>
      <c r="D237" s="41" t="n"/>
      <c r="E237" s="70" t="n"/>
      <c r="F237" s="71" t="n"/>
      <c r="G237" s="72" t="n"/>
      <c r="H237" s="73" t="n"/>
      <c r="I237" s="74">
        <f>IF(OR(E237="",F237=""),"",E237*F237)</f>
        <v/>
      </c>
      <c r="J237" s="75">
        <f>IF(I237="","",IF(D237="Buy",I237+N(G237),IF(D237="Sell",I237-N(G237),IF(D237="Dividend",I237-N(G237),I237+N(G237)))))</f>
        <v/>
      </c>
      <c r="K237" s="76">
        <f>IF(B237="","",DATE(YEAR(B237),MONTH(B237),1))</f>
        <v/>
      </c>
      <c r="L237" s="77">
        <f>IF(B237="","",YEAR(B237))</f>
        <v/>
      </c>
    </row>
    <row r="238" ht="19" customHeight="1">
      <c r="A238" s="69">
        <f>IF(B238="","",ROW()-5)</f>
        <v/>
      </c>
      <c r="B238" s="43" t="n"/>
      <c r="C238" s="41" t="n"/>
      <c r="D238" s="41" t="n"/>
      <c r="E238" s="70" t="n"/>
      <c r="F238" s="71" t="n"/>
      <c r="G238" s="72" t="n"/>
      <c r="H238" s="73" t="n"/>
      <c r="I238" s="74">
        <f>IF(OR(E238="",F238=""),"",E238*F238)</f>
        <v/>
      </c>
      <c r="J238" s="75">
        <f>IF(I238="","",IF(D238="Buy",I238+N(G238),IF(D238="Sell",I238-N(G238),IF(D238="Dividend",I238-N(G238),I238+N(G238)))))</f>
        <v/>
      </c>
      <c r="K238" s="76">
        <f>IF(B238="","",DATE(YEAR(B238),MONTH(B238),1))</f>
        <v/>
      </c>
      <c r="L238" s="77">
        <f>IF(B238="","",YEAR(B238))</f>
        <v/>
      </c>
    </row>
    <row r="239" ht="19" customHeight="1">
      <c r="A239" s="69">
        <f>IF(B239="","",ROW()-5)</f>
        <v/>
      </c>
      <c r="B239" s="43" t="n"/>
      <c r="C239" s="41" t="n"/>
      <c r="D239" s="41" t="n"/>
      <c r="E239" s="70" t="n"/>
      <c r="F239" s="71" t="n"/>
      <c r="G239" s="72" t="n"/>
      <c r="H239" s="73" t="n"/>
      <c r="I239" s="74">
        <f>IF(OR(E239="",F239=""),"",E239*F239)</f>
        <v/>
      </c>
      <c r="J239" s="75">
        <f>IF(I239="","",IF(D239="Buy",I239+N(G239),IF(D239="Sell",I239-N(G239),IF(D239="Dividend",I239-N(G239),I239+N(G239)))))</f>
        <v/>
      </c>
      <c r="K239" s="76">
        <f>IF(B239="","",DATE(YEAR(B239),MONTH(B239),1))</f>
        <v/>
      </c>
      <c r="L239" s="77">
        <f>IF(B239="","",YEAR(B239))</f>
        <v/>
      </c>
    </row>
    <row r="240" ht="19" customHeight="1">
      <c r="A240" s="69">
        <f>IF(B240="","",ROW()-5)</f>
        <v/>
      </c>
      <c r="B240" s="43" t="n"/>
      <c r="C240" s="41" t="n"/>
      <c r="D240" s="41" t="n"/>
      <c r="E240" s="70" t="n"/>
      <c r="F240" s="71" t="n"/>
      <c r="G240" s="72" t="n"/>
      <c r="H240" s="73" t="n"/>
      <c r="I240" s="74">
        <f>IF(OR(E240="",F240=""),"",E240*F240)</f>
        <v/>
      </c>
      <c r="J240" s="75">
        <f>IF(I240="","",IF(D240="Buy",I240+N(G240),IF(D240="Sell",I240-N(G240),IF(D240="Dividend",I240-N(G240),I240+N(G240)))))</f>
        <v/>
      </c>
      <c r="K240" s="76">
        <f>IF(B240="","",DATE(YEAR(B240),MONTH(B240),1))</f>
        <v/>
      </c>
      <c r="L240" s="77">
        <f>IF(B240="","",YEAR(B240))</f>
        <v/>
      </c>
    </row>
    <row r="241" ht="19" customHeight="1">
      <c r="A241" s="69">
        <f>IF(B241="","",ROW()-5)</f>
        <v/>
      </c>
      <c r="B241" s="43" t="n"/>
      <c r="C241" s="41" t="n"/>
      <c r="D241" s="41" t="n"/>
      <c r="E241" s="70" t="n"/>
      <c r="F241" s="71" t="n"/>
      <c r="G241" s="72" t="n"/>
      <c r="H241" s="73" t="n"/>
      <c r="I241" s="74">
        <f>IF(OR(E241="",F241=""),"",E241*F241)</f>
        <v/>
      </c>
      <c r="J241" s="75">
        <f>IF(I241="","",IF(D241="Buy",I241+N(G241),IF(D241="Sell",I241-N(G241),IF(D241="Dividend",I241-N(G241),I241+N(G241)))))</f>
        <v/>
      </c>
      <c r="K241" s="76">
        <f>IF(B241="","",DATE(YEAR(B241),MONTH(B241),1))</f>
        <v/>
      </c>
      <c r="L241" s="77">
        <f>IF(B241="","",YEAR(B241))</f>
        <v/>
      </c>
    </row>
    <row r="242" ht="19" customHeight="1">
      <c r="A242" s="69">
        <f>IF(B242="","",ROW()-5)</f>
        <v/>
      </c>
      <c r="B242" s="43" t="n"/>
      <c r="C242" s="41" t="n"/>
      <c r="D242" s="41" t="n"/>
      <c r="E242" s="70" t="n"/>
      <c r="F242" s="71" t="n"/>
      <c r="G242" s="72" t="n"/>
      <c r="H242" s="73" t="n"/>
      <c r="I242" s="74">
        <f>IF(OR(E242="",F242=""),"",E242*F242)</f>
        <v/>
      </c>
      <c r="J242" s="75">
        <f>IF(I242="","",IF(D242="Buy",I242+N(G242),IF(D242="Sell",I242-N(G242),IF(D242="Dividend",I242-N(G242),I242+N(G242)))))</f>
        <v/>
      </c>
      <c r="K242" s="76">
        <f>IF(B242="","",DATE(YEAR(B242),MONTH(B242),1))</f>
        <v/>
      </c>
      <c r="L242" s="77">
        <f>IF(B242="","",YEAR(B242))</f>
        <v/>
      </c>
    </row>
    <row r="243" ht="19" customHeight="1">
      <c r="A243" s="69">
        <f>IF(B243="","",ROW()-5)</f>
        <v/>
      </c>
      <c r="B243" s="43" t="n"/>
      <c r="C243" s="41" t="n"/>
      <c r="D243" s="41" t="n"/>
      <c r="E243" s="70" t="n"/>
      <c r="F243" s="71" t="n"/>
      <c r="G243" s="72" t="n"/>
      <c r="H243" s="73" t="n"/>
      <c r="I243" s="74">
        <f>IF(OR(E243="",F243=""),"",E243*F243)</f>
        <v/>
      </c>
      <c r="J243" s="75">
        <f>IF(I243="","",IF(D243="Buy",I243+N(G243),IF(D243="Sell",I243-N(G243),IF(D243="Dividend",I243-N(G243),I243+N(G243)))))</f>
        <v/>
      </c>
      <c r="K243" s="76">
        <f>IF(B243="","",DATE(YEAR(B243),MONTH(B243),1))</f>
        <v/>
      </c>
      <c r="L243" s="77">
        <f>IF(B243="","",YEAR(B243))</f>
        <v/>
      </c>
    </row>
    <row r="244" ht="19" customHeight="1">
      <c r="A244" s="69">
        <f>IF(B244="","",ROW()-5)</f>
        <v/>
      </c>
      <c r="B244" s="43" t="n"/>
      <c r="C244" s="41" t="n"/>
      <c r="D244" s="41" t="n"/>
      <c r="E244" s="70" t="n"/>
      <c r="F244" s="71" t="n"/>
      <c r="G244" s="72" t="n"/>
      <c r="H244" s="73" t="n"/>
      <c r="I244" s="74">
        <f>IF(OR(E244="",F244=""),"",E244*F244)</f>
        <v/>
      </c>
      <c r="J244" s="75">
        <f>IF(I244="","",IF(D244="Buy",I244+N(G244),IF(D244="Sell",I244-N(G244),IF(D244="Dividend",I244-N(G244),I244+N(G244)))))</f>
        <v/>
      </c>
      <c r="K244" s="76">
        <f>IF(B244="","",DATE(YEAR(B244),MONTH(B244),1))</f>
        <v/>
      </c>
      <c r="L244" s="77">
        <f>IF(B244="","",YEAR(B244))</f>
        <v/>
      </c>
    </row>
    <row r="245" ht="19" customHeight="1">
      <c r="A245" s="69">
        <f>IF(B245="","",ROW()-5)</f>
        <v/>
      </c>
      <c r="B245" s="43" t="n"/>
      <c r="C245" s="41" t="n"/>
      <c r="D245" s="41" t="n"/>
      <c r="E245" s="70" t="n"/>
      <c r="F245" s="71" t="n"/>
      <c r="G245" s="72" t="n"/>
      <c r="H245" s="73" t="n"/>
      <c r="I245" s="74">
        <f>IF(OR(E245="",F245=""),"",E245*F245)</f>
        <v/>
      </c>
      <c r="J245" s="75">
        <f>IF(I245="","",IF(D245="Buy",I245+N(G245),IF(D245="Sell",I245-N(G245),IF(D245="Dividend",I245-N(G245),I245+N(G245)))))</f>
        <v/>
      </c>
      <c r="K245" s="76">
        <f>IF(B245="","",DATE(YEAR(B245),MONTH(B245),1))</f>
        <v/>
      </c>
      <c r="L245" s="77">
        <f>IF(B245="","",YEAR(B245))</f>
        <v/>
      </c>
    </row>
    <row r="246" ht="19" customHeight="1">
      <c r="A246" s="69">
        <f>IF(B246="","",ROW()-5)</f>
        <v/>
      </c>
      <c r="B246" s="43" t="n"/>
      <c r="C246" s="41" t="n"/>
      <c r="D246" s="41" t="n"/>
      <c r="E246" s="70" t="n"/>
      <c r="F246" s="71" t="n"/>
      <c r="G246" s="72" t="n"/>
      <c r="H246" s="73" t="n"/>
      <c r="I246" s="74">
        <f>IF(OR(E246="",F246=""),"",E246*F246)</f>
        <v/>
      </c>
      <c r="J246" s="75">
        <f>IF(I246="","",IF(D246="Buy",I246+N(G246),IF(D246="Sell",I246-N(G246),IF(D246="Dividend",I246-N(G246),I246+N(G246)))))</f>
        <v/>
      </c>
      <c r="K246" s="76">
        <f>IF(B246="","",DATE(YEAR(B246),MONTH(B246),1))</f>
        <v/>
      </c>
      <c r="L246" s="77">
        <f>IF(B246="","",YEAR(B246))</f>
        <v/>
      </c>
    </row>
    <row r="247" ht="19" customHeight="1">
      <c r="A247" s="69">
        <f>IF(B247="","",ROW()-5)</f>
        <v/>
      </c>
      <c r="B247" s="43" t="n"/>
      <c r="C247" s="41" t="n"/>
      <c r="D247" s="41" t="n"/>
      <c r="E247" s="70" t="n"/>
      <c r="F247" s="71" t="n"/>
      <c r="G247" s="72" t="n"/>
      <c r="H247" s="73" t="n"/>
      <c r="I247" s="74">
        <f>IF(OR(E247="",F247=""),"",E247*F247)</f>
        <v/>
      </c>
      <c r="J247" s="75">
        <f>IF(I247="","",IF(D247="Buy",I247+N(G247),IF(D247="Sell",I247-N(G247),IF(D247="Dividend",I247-N(G247),I247+N(G247)))))</f>
        <v/>
      </c>
      <c r="K247" s="76">
        <f>IF(B247="","",DATE(YEAR(B247),MONTH(B247),1))</f>
        <v/>
      </c>
      <c r="L247" s="77">
        <f>IF(B247="","",YEAR(B247))</f>
        <v/>
      </c>
    </row>
    <row r="248" ht="19" customHeight="1">
      <c r="A248" s="69">
        <f>IF(B248="","",ROW()-5)</f>
        <v/>
      </c>
      <c r="B248" s="43" t="n"/>
      <c r="C248" s="41" t="n"/>
      <c r="D248" s="41" t="n"/>
      <c r="E248" s="70" t="n"/>
      <c r="F248" s="71" t="n"/>
      <c r="G248" s="72" t="n"/>
      <c r="H248" s="73" t="n"/>
      <c r="I248" s="74">
        <f>IF(OR(E248="",F248=""),"",E248*F248)</f>
        <v/>
      </c>
      <c r="J248" s="75">
        <f>IF(I248="","",IF(D248="Buy",I248+N(G248),IF(D248="Sell",I248-N(G248),IF(D248="Dividend",I248-N(G248),I248+N(G248)))))</f>
        <v/>
      </c>
      <c r="K248" s="76">
        <f>IF(B248="","",DATE(YEAR(B248),MONTH(B248),1))</f>
        <v/>
      </c>
      <c r="L248" s="77">
        <f>IF(B248="","",YEAR(B248))</f>
        <v/>
      </c>
    </row>
    <row r="249" ht="19" customHeight="1">
      <c r="A249" s="69">
        <f>IF(B249="","",ROW()-5)</f>
        <v/>
      </c>
      <c r="B249" s="43" t="n"/>
      <c r="C249" s="41" t="n"/>
      <c r="D249" s="41" t="n"/>
      <c r="E249" s="70" t="n"/>
      <c r="F249" s="71" t="n"/>
      <c r="G249" s="72" t="n"/>
      <c r="H249" s="73" t="n"/>
      <c r="I249" s="74">
        <f>IF(OR(E249="",F249=""),"",E249*F249)</f>
        <v/>
      </c>
      <c r="J249" s="75">
        <f>IF(I249="","",IF(D249="Buy",I249+N(G249),IF(D249="Sell",I249-N(G249),IF(D249="Dividend",I249-N(G249),I249+N(G249)))))</f>
        <v/>
      </c>
      <c r="K249" s="76">
        <f>IF(B249="","",DATE(YEAR(B249),MONTH(B249),1))</f>
        <v/>
      </c>
      <c r="L249" s="77">
        <f>IF(B249="","",YEAR(B249))</f>
        <v/>
      </c>
    </row>
    <row r="250" ht="19" customHeight="1">
      <c r="A250" s="69">
        <f>IF(B250="","",ROW()-5)</f>
        <v/>
      </c>
      <c r="B250" s="43" t="n"/>
      <c r="C250" s="41" t="n"/>
      <c r="D250" s="41" t="n"/>
      <c r="E250" s="70" t="n"/>
      <c r="F250" s="71" t="n"/>
      <c r="G250" s="72" t="n"/>
      <c r="H250" s="73" t="n"/>
      <c r="I250" s="74">
        <f>IF(OR(E250="",F250=""),"",E250*F250)</f>
        <v/>
      </c>
      <c r="J250" s="75">
        <f>IF(I250="","",IF(D250="Buy",I250+N(G250),IF(D250="Sell",I250-N(G250),IF(D250="Dividend",I250-N(G250),I250+N(G250)))))</f>
        <v/>
      </c>
      <c r="K250" s="76">
        <f>IF(B250="","",DATE(YEAR(B250),MONTH(B250),1))</f>
        <v/>
      </c>
      <c r="L250" s="77">
        <f>IF(B250="","",YEAR(B250))</f>
        <v/>
      </c>
    </row>
    <row r="251" ht="19" customHeight="1">
      <c r="A251" s="69">
        <f>IF(B251="","",ROW()-5)</f>
        <v/>
      </c>
      <c r="B251" s="43" t="n"/>
      <c r="C251" s="41" t="n"/>
      <c r="D251" s="41" t="n"/>
      <c r="E251" s="70" t="n"/>
      <c r="F251" s="71" t="n"/>
      <c r="G251" s="72" t="n"/>
      <c r="H251" s="73" t="n"/>
      <c r="I251" s="74">
        <f>IF(OR(E251="",F251=""),"",E251*F251)</f>
        <v/>
      </c>
      <c r="J251" s="75">
        <f>IF(I251="","",IF(D251="Buy",I251+N(G251),IF(D251="Sell",I251-N(G251),IF(D251="Dividend",I251-N(G251),I251+N(G251)))))</f>
        <v/>
      </c>
      <c r="K251" s="76">
        <f>IF(B251="","",DATE(YEAR(B251),MONTH(B251),1))</f>
        <v/>
      </c>
      <c r="L251" s="77">
        <f>IF(B251="","",YEAR(B251))</f>
        <v/>
      </c>
    </row>
    <row r="252" ht="19" customHeight="1">
      <c r="A252" s="69">
        <f>IF(B252="","",ROW()-5)</f>
        <v/>
      </c>
      <c r="B252" s="43" t="n"/>
      <c r="C252" s="41" t="n"/>
      <c r="D252" s="41" t="n"/>
      <c r="E252" s="70" t="n"/>
      <c r="F252" s="71" t="n"/>
      <c r="G252" s="72" t="n"/>
      <c r="H252" s="73" t="n"/>
      <c r="I252" s="74">
        <f>IF(OR(E252="",F252=""),"",E252*F252)</f>
        <v/>
      </c>
      <c r="J252" s="75">
        <f>IF(I252="","",IF(D252="Buy",I252+N(G252),IF(D252="Sell",I252-N(G252),IF(D252="Dividend",I252-N(G252),I252+N(G252)))))</f>
        <v/>
      </c>
      <c r="K252" s="76">
        <f>IF(B252="","",DATE(YEAR(B252),MONTH(B252),1))</f>
        <v/>
      </c>
      <c r="L252" s="77">
        <f>IF(B252="","",YEAR(B252))</f>
        <v/>
      </c>
    </row>
    <row r="253" ht="19" customHeight="1">
      <c r="A253" s="69">
        <f>IF(B253="","",ROW()-5)</f>
        <v/>
      </c>
      <c r="B253" s="43" t="n"/>
      <c r="C253" s="41" t="n"/>
      <c r="D253" s="41" t="n"/>
      <c r="E253" s="70" t="n"/>
      <c r="F253" s="71" t="n"/>
      <c r="G253" s="72" t="n"/>
      <c r="H253" s="73" t="n"/>
      <c r="I253" s="74">
        <f>IF(OR(E253="",F253=""),"",E253*F253)</f>
        <v/>
      </c>
      <c r="J253" s="75">
        <f>IF(I253="","",IF(D253="Buy",I253+N(G253),IF(D253="Sell",I253-N(G253),IF(D253="Dividend",I253-N(G253),I253+N(G253)))))</f>
        <v/>
      </c>
      <c r="K253" s="76">
        <f>IF(B253="","",DATE(YEAR(B253),MONTH(B253),1))</f>
        <v/>
      </c>
      <c r="L253" s="77">
        <f>IF(B253="","",YEAR(B253))</f>
        <v/>
      </c>
    </row>
    <row r="254" ht="19" customHeight="1">
      <c r="A254" s="69">
        <f>IF(B254="","",ROW()-5)</f>
        <v/>
      </c>
      <c r="B254" s="43" t="n"/>
      <c r="C254" s="41" t="n"/>
      <c r="D254" s="41" t="n"/>
      <c r="E254" s="70" t="n"/>
      <c r="F254" s="71" t="n"/>
      <c r="G254" s="72" t="n"/>
      <c r="H254" s="73" t="n"/>
      <c r="I254" s="74">
        <f>IF(OR(E254="",F254=""),"",E254*F254)</f>
        <v/>
      </c>
      <c r="J254" s="75">
        <f>IF(I254="","",IF(D254="Buy",I254+N(G254),IF(D254="Sell",I254-N(G254),IF(D254="Dividend",I254-N(G254),I254+N(G254)))))</f>
        <v/>
      </c>
      <c r="K254" s="76">
        <f>IF(B254="","",DATE(YEAR(B254),MONTH(B254),1))</f>
        <v/>
      </c>
      <c r="L254" s="77">
        <f>IF(B254="","",YEAR(B254))</f>
        <v/>
      </c>
    </row>
    <row r="255" ht="19" customHeight="1">
      <c r="A255" s="69">
        <f>IF(B255="","",ROW()-5)</f>
        <v/>
      </c>
      <c r="B255" s="43" t="n"/>
      <c r="C255" s="41" t="n"/>
      <c r="D255" s="41" t="n"/>
      <c r="E255" s="70" t="n"/>
      <c r="F255" s="71" t="n"/>
      <c r="G255" s="72" t="n"/>
      <c r="H255" s="73" t="n"/>
      <c r="I255" s="74">
        <f>IF(OR(E255="",F255=""),"",E255*F255)</f>
        <v/>
      </c>
      <c r="J255" s="75">
        <f>IF(I255="","",IF(D255="Buy",I255+N(G255),IF(D255="Sell",I255-N(G255),IF(D255="Dividend",I255-N(G255),I255+N(G255)))))</f>
        <v/>
      </c>
      <c r="K255" s="76">
        <f>IF(B255="","",DATE(YEAR(B255),MONTH(B255),1))</f>
        <v/>
      </c>
      <c r="L255" s="77">
        <f>IF(B255="","",YEAR(B255))</f>
        <v/>
      </c>
    </row>
    <row r="256" ht="19" customHeight="1">
      <c r="A256" s="69">
        <f>IF(B256="","",ROW()-5)</f>
        <v/>
      </c>
      <c r="B256" s="43" t="n"/>
      <c r="C256" s="41" t="n"/>
      <c r="D256" s="41" t="n"/>
      <c r="E256" s="70" t="n"/>
      <c r="F256" s="71" t="n"/>
      <c r="G256" s="72" t="n"/>
      <c r="H256" s="73" t="n"/>
      <c r="I256" s="74">
        <f>IF(OR(E256="",F256=""),"",E256*F256)</f>
        <v/>
      </c>
      <c r="J256" s="75">
        <f>IF(I256="","",IF(D256="Buy",I256+N(G256),IF(D256="Sell",I256-N(G256),IF(D256="Dividend",I256-N(G256),I256+N(G256)))))</f>
        <v/>
      </c>
      <c r="K256" s="76">
        <f>IF(B256="","",DATE(YEAR(B256),MONTH(B256),1))</f>
        <v/>
      </c>
      <c r="L256" s="77">
        <f>IF(B256="","",YEAR(B256))</f>
        <v/>
      </c>
    </row>
    <row r="257" ht="19" customHeight="1">
      <c r="A257" s="69">
        <f>IF(B257="","",ROW()-5)</f>
        <v/>
      </c>
      <c r="B257" s="43" t="n"/>
      <c r="C257" s="41" t="n"/>
      <c r="D257" s="41" t="n"/>
      <c r="E257" s="70" t="n"/>
      <c r="F257" s="71" t="n"/>
      <c r="G257" s="72" t="n"/>
      <c r="H257" s="73" t="n"/>
      <c r="I257" s="74">
        <f>IF(OR(E257="",F257=""),"",E257*F257)</f>
        <v/>
      </c>
      <c r="J257" s="75">
        <f>IF(I257="","",IF(D257="Buy",I257+N(G257),IF(D257="Sell",I257-N(G257),IF(D257="Dividend",I257-N(G257),I257+N(G257)))))</f>
        <v/>
      </c>
      <c r="K257" s="76">
        <f>IF(B257="","",DATE(YEAR(B257),MONTH(B257),1))</f>
        <v/>
      </c>
      <c r="L257" s="77">
        <f>IF(B257="","",YEAR(B257))</f>
        <v/>
      </c>
    </row>
    <row r="258" ht="19" customHeight="1">
      <c r="A258" s="69">
        <f>IF(B258="","",ROW()-5)</f>
        <v/>
      </c>
      <c r="B258" s="43" t="n"/>
      <c r="C258" s="41" t="n"/>
      <c r="D258" s="41" t="n"/>
      <c r="E258" s="70" t="n"/>
      <c r="F258" s="71" t="n"/>
      <c r="G258" s="72" t="n"/>
      <c r="H258" s="73" t="n"/>
      <c r="I258" s="74">
        <f>IF(OR(E258="",F258=""),"",E258*F258)</f>
        <v/>
      </c>
      <c r="J258" s="75">
        <f>IF(I258="","",IF(D258="Buy",I258+N(G258),IF(D258="Sell",I258-N(G258),IF(D258="Dividend",I258-N(G258),I258+N(G258)))))</f>
        <v/>
      </c>
      <c r="K258" s="76">
        <f>IF(B258="","",DATE(YEAR(B258),MONTH(B258),1))</f>
        <v/>
      </c>
      <c r="L258" s="77">
        <f>IF(B258="","",YEAR(B258))</f>
        <v/>
      </c>
    </row>
    <row r="259" ht="19" customHeight="1">
      <c r="A259" s="69">
        <f>IF(B259="","",ROW()-5)</f>
        <v/>
      </c>
      <c r="B259" s="43" t="n"/>
      <c r="C259" s="41" t="n"/>
      <c r="D259" s="41" t="n"/>
      <c r="E259" s="70" t="n"/>
      <c r="F259" s="71" t="n"/>
      <c r="G259" s="72" t="n"/>
      <c r="H259" s="73" t="n"/>
      <c r="I259" s="74">
        <f>IF(OR(E259="",F259=""),"",E259*F259)</f>
        <v/>
      </c>
      <c r="J259" s="75">
        <f>IF(I259="","",IF(D259="Buy",I259+N(G259),IF(D259="Sell",I259-N(G259),IF(D259="Dividend",I259-N(G259),I259+N(G259)))))</f>
        <v/>
      </c>
      <c r="K259" s="76">
        <f>IF(B259="","",DATE(YEAR(B259),MONTH(B259),1))</f>
        <v/>
      </c>
      <c r="L259" s="77">
        <f>IF(B259="","",YEAR(B259))</f>
        <v/>
      </c>
    </row>
    <row r="260" ht="19" customHeight="1">
      <c r="A260" s="69">
        <f>IF(B260="","",ROW()-5)</f>
        <v/>
      </c>
      <c r="B260" s="43" t="n"/>
      <c r="C260" s="41" t="n"/>
      <c r="D260" s="41" t="n"/>
      <c r="E260" s="70" t="n"/>
      <c r="F260" s="71" t="n"/>
      <c r="G260" s="72" t="n"/>
      <c r="H260" s="73" t="n"/>
      <c r="I260" s="74">
        <f>IF(OR(E260="",F260=""),"",E260*F260)</f>
        <v/>
      </c>
      <c r="J260" s="75">
        <f>IF(I260="","",IF(D260="Buy",I260+N(G260),IF(D260="Sell",I260-N(G260),IF(D260="Dividend",I260-N(G260),I260+N(G260)))))</f>
        <v/>
      </c>
      <c r="K260" s="76">
        <f>IF(B260="","",DATE(YEAR(B260),MONTH(B260),1))</f>
        <v/>
      </c>
      <c r="L260" s="77">
        <f>IF(B260="","",YEAR(B260))</f>
        <v/>
      </c>
    </row>
    <row r="261" ht="19" customHeight="1">
      <c r="A261" s="69">
        <f>IF(B261="","",ROW()-5)</f>
        <v/>
      </c>
      <c r="B261" s="43" t="n"/>
      <c r="C261" s="41" t="n"/>
      <c r="D261" s="41" t="n"/>
      <c r="E261" s="70" t="n"/>
      <c r="F261" s="71" t="n"/>
      <c r="G261" s="72" t="n"/>
      <c r="H261" s="73" t="n"/>
      <c r="I261" s="74">
        <f>IF(OR(E261="",F261=""),"",E261*F261)</f>
        <v/>
      </c>
      <c r="J261" s="75">
        <f>IF(I261="","",IF(D261="Buy",I261+N(G261),IF(D261="Sell",I261-N(G261),IF(D261="Dividend",I261-N(G261),I261+N(G261)))))</f>
        <v/>
      </c>
      <c r="K261" s="76">
        <f>IF(B261="","",DATE(YEAR(B261),MONTH(B261),1))</f>
        <v/>
      </c>
      <c r="L261" s="77">
        <f>IF(B261="","",YEAR(B261))</f>
        <v/>
      </c>
    </row>
    <row r="262" ht="19" customHeight="1">
      <c r="A262" s="69">
        <f>IF(B262="","",ROW()-5)</f>
        <v/>
      </c>
      <c r="B262" s="43" t="n"/>
      <c r="C262" s="41" t="n"/>
      <c r="D262" s="41" t="n"/>
      <c r="E262" s="70" t="n"/>
      <c r="F262" s="71" t="n"/>
      <c r="G262" s="72" t="n"/>
      <c r="H262" s="73" t="n"/>
      <c r="I262" s="74">
        <f>IF(OR(E262="",F262=""),"",E262*F262)</f>
        <v/>
      </c>
      <c r="J262" s="75">
        <f>IF(I262="","",IF(D262="Buy",I262+N(G262),IF(D262="Sell",I262-N(G262),IF(D262="Dividend",I262-N(G262),I262+N(G262)))))</f>
        <v/>
      </c>
      <c r="K262" s="76">
        <f>IF(B262="","",DATE(YEAR(B262),MONTH(B262),1))</f>
        <v/>
      </c>
      <c r="L262" s="77">
        <f>IF(B262="","",YEAR(B262))</f>
        <v/>
      </c>
    </row>
    <row r="263" ht="19" customHeight="1">
      <c r="A263" s="69">
        <f>IF(B263="","",ROW()-5)</f>
        <v/>
      </c>
      <c r="B263" s="43" t="n"/>
      <c r="C263" s="41" t="n"/>
      <c r="D263" s="41" t="n"/>
      <c r="E263" s="70" t="n"/>
      <c r="F263" s="71" t="n"/>
      <c r="G263" s="72" t="n"/>
      <c r="H263" s="73" t="n"/>
      <c r="I263" s="74">
        <f>IF(OR(E263="",F263=""),"",E263*F263)</f>
        <v/>
      </c>
      <c r="J263" s="75">
        <f>IF(I263="","",IF(D263="Buy",I263+N(G263),IF(D263="Sell",I263-N(G263),IF(D263="Dividend",I263-N(G263),I263+N(G263)))))</f>
        <v/>
      </c>
      <c r="K263" s="76">
        <f>IF(B263="","",DATE(YEAR(B263),MONTH(B263),1))</f>
        <v/>
      </c>
      <c r="L263" s="77">
        <f>IF(B263="","",YEAR(B263))</f>
        <v/>
      </c>
    </row>
    <row r="264" ht="19" customHeight="1">
      <c r="A264" s="69">
        <f>IF(B264="","",ROW()-5)</f>
        <v/>
      </c>
      <c r="B264" s="43" t="n"/>
      <c r="C264" s="41" t="n"/>
      <c r="D264" s="41" t="n"/>
      <c r="E264" s="70" t="n"/>
      <c r="F264" s="71" t="n"/>
      <c r="G264" s="72" t="n"/>
      <c r="H264" s="73" t="n"/>
      <c r="I264" s="74">
        <f>IF(OR(E264="",F264=""),"",E264*F264)</f>
        <v/>
      </c>
      <c r="J264" s="75">
        <f>IF(I264="","",IF(D264="Buy",I264+N(G264),IF(D264="Sell",I264-N(G264),IF(D264="Dividend",I264-N(G264),I264+N(G264)))))</f>
        <v/>
      </c>
      <c r="K264" s="76">
        <f>IF(B264="","",DATE(YEAR(B264),MONTH(B264),1))</f>
        <v/>
      </c>
      <c r="L264" s="77">
        <f>IF(B264="","",YEAR(B264))</f>
        <v/>
      </c>
    </row>
    <row r="265" ht="19" customHeight="1">
      <c r="A265" s="69">
        <f>IF(B265="","",ROW()-5)</f>
        <v/>
      </c>
      <c r="B265" s="43" t="n"/>
      <c r="C265" s="41" t="n"/>
      <c r="D265" s="41" t="n"/>
      <c r="E265" s="70" t="n"/>
      <c r="F265" s="71" t="n"/>
      <c r="G265" s="72" t="n"/>
      <c r="H265" s="73" t="n"/>
      <c r="I265" s="74">
        <f>IF(OR(E265="",F265=""),"",E265*F265)</f>
        <v/>
      </c>
      <c r="J265" s="75">
        <f>IF(I265="","",IF(D265="Buy",I265+N(G265),IF(D265="Sell",I265-N(G265),IF(D265="Dividend",I265-N(G265),I265+N(G265)))))</f>
        <v/>
      </c>
      <c r="K265" s="76">
        <f>IF(B265="","",DATE(YEAR(B265),MONTH(B265),1))</f>
        <v/>
      </c>
      <c r="L265" s="77">
        <f>IF(B265="","",YEAR(B265))</f>
        <v/>
      </c>
    </row>
    <row r="266" ht="19" customHeight="1">
      <c r="A266" s="69">
        <f>IF(B266="","",ROW()-5)</f>
        <v/>
      </c>
      <c r="B266" s="43" t="n"/>
      <c r="C266" s="41" t="n"/>
      <c r="D266" s="41" t="n"/>
      <c r="E266" s="70" t="n"/>
      <c r="F266" s="71" t="n"/>
      <c r="G266" s="72" t="n"/>
      <c r="H266" s="73" t="n"/>
      <c r="I266" s="74">
        <f>IF(OR(E266="",F266=""),"",E266*F266)</f>
        <v/>
      </c>
      <c r="J266" s="75">
        <f>IF(I266="","",IF(D266="Buy",I266+N(G266),IF(D266="Sell",I266-N(G266),IF(D266="Dividend",I266-N(G266),I266+N(G266)))))</f>
        <v/>
      </c>
      <c r="K266" s="76">
        <f>IF(B266="","",DATE(YEAR(B266),MONTH(B266),1))</f>
        <v/>
      </c>
      <c r="L266" s="77">
        <f>IF(B266="","",YEAR(B266))</f>
        <v/>
      </c>
    </row>
    <row r="267" ht="19" customHeight="1">
      <c r="A267" s="69">
        <f>IF(B267="","",ROW()-5)</f>
        <v/>
      </c>
      <c r="B267" s="43" t="n"/>
      <c r="C267" s="41" t="n"/>
      <c r="D267" s="41" t="n"/>
      <c r="E267" s="70" t="n"/>
      <c r="F267" s="71" t="n"/>
      <c r="G267" s="72" t="n"/>
      <c r="H267" s="73" t="n"/>
      <c r="I267" s="74">
        <f>IF(OR(E267="",F267=""),"",E267*F267)</f>
        <v/>
      </c>
      <c r="J267" s="75">
        <f>IF(I267="","",IF(D267="Buy",I267+N(G267),IF(D267="Sell",I267-N(G267),IF(D267="Dividend",I267-N(G267),I267+N(G267)))))</f>
        <v/>
      </c>
      <c r="K267" s="76">
        <f>IF(B267="","",DATE(YEAR(B267),MONTH(B267),1))</f>
        <v/>
      </c>
      <c r="L267" s="77">
        <f>IF(B267="","",YEAR(B267))</f>
        <v/>
      </c>
    </row>
    <row r="268" ht="19" customHeight="1">
      <c r="A268" s="69">
        <f>IF(B268="","",ROW()-5)</f>
        <v/>
      </c>
      <c r="B268" s="43" t="n"/>
      <c r="C268" s="41" t="n"/>
      <c r="D268" s="41" t="n"/>
      <c r="E268" s="70" t="n"/>
      <c r="F268" s="71" t="n"/>
      <c r="G268" s="72" t="n"/>
      <c r="H268" s="73" t="n"/>
      <c r="I268" s="74">
        <f>IF(OR(E268="",F268=""),"",E268*F268)</f>
        <v/>
      </c>
      <c r="J268" s="75">
        <f>IF(I268="","",IF(D268="Buy",I268+N(G268),IF(D268="Sell",I268-N(G268),IF(D268="Dividend",I268-N(G268),I268+N(G268)))))</f>
        <v/>
      </c>
      <c r="K268" s="76">
        <f>IF(B268="","",DATE(YEAR(B268),MONTH(B268),1))</f>
        <v/>
      </c>
      <c r="L268" s="77">
        <f>IF(B268="","",YEAR(B268))</f>
        <v/>
      </c>
    </row>
    <row r="269" ht="19" customHeight="1">
      <c r="A269" s="69">
        <f>IF(B269="","",ROW()-5)</f>
        <v/>
      </c>
      <c r="B269" s="43" t="n"/>
      <c r="C269" s="41" t="n"/>
      <c r="D269" s="41" t="n"/>
      <c r="E269" s="70" t="n"/>
      <c r="F269" s="71" t="n"/>
      <c r="G269" s="72" t="n"/>
      <c r="H269" s="73" t="n"/>
      <c r="I269" s="74">
        <f>IF(OR(E269="",F269=""),"",E269*F269)</f>
        <v/>
      </c>
      <c r="J269" s="75">
        <f>IF(I269="","",IF(D269="Buy",I269+N(G269),IF(D269="Sell",I269-N(G269),IF(D269="Dividend",I269-N(G269),I269+N(G269)))))</f>
        <v/>
      </c>
      <c r="K269" s="76">
        <f>IF(B269="","",DATE(YEAR(B269),MONTH(B269),1))</f>
        <v/>
      </c>
      <c r="L269" s="77">
        <f>IF(B269="","",YEAR(B269))</f>
        <v/>
      </c>
    </row>
    <row r="270" ht="19" customHeight="1">
      <c r="A270" s="69">
        <f>IF(B270="","",ROW()-5)</f>
        <v/>
      </c>
      <c r="B270" s="43" t="n"/>
      <c r="C270" s="41" t="n"/>
      <c r="D270" s="41" t="n"/>
      <c r="E270" s="70" t="n"/>
      <c r="F270" s="71" t="n"/>
      <c r="G270" s="72" t="n"/>
      <c r="H270" s="73" t="n"/>
      <c r="I270" s="74">
        <f>IF(OR(E270="",F270=""),"",E270*F270)</f>
        <v/>
      </c>
      <c r="J270" s="75">
        <f>IF(I270="","",IF(D270="Buy",I270+N(G270),IF(D270="Sell",I270-N(G270),IF(D270="Dividend",I270-N(G270),I270+N(G270)))))</f>
        <v/>
      </c>
      <c r="K270" s="76">
        <f>IF(B270="","",DATE(YEAR(B270),MONTH(B270),1))</f>
        <v/>
      </c>
      <c r="L270" s="77">
        <f>IF(B270="","",YEAR(B270))</f>
        <v/>
      </c>
    </row>
    <row r="271" ht="19" customHeight="1">
      <c r="A271" s="69">
        <f>IF(B271="","",ROW()-5)</f>
        <v/>
      </c>
      <c r="B271" s="43" t="n"/>
      <c r="C271" s="41" t="n"/>
      <c r="D271" s="41" t="n"/>
      <c r="E271" s="70" t="n"/>
      <c r="F271" s="71" t="n"/>
      <c r="G271" s="72" t="n"/>
      <c r="H271" s="73" t="n"/>
      <c r="I271" s="74">
        <f>IF(OR(E271="",F271=""),"",E271*F271)</f>
        <v/>
      </c>
      <c r="J271" s="75">
        <f>IF(I271="","",IF(D271="Buy",I271+N(G271),IF(D271="Sell",I271-N(G271),IF(D271="Dividend",I271-N(G271),I271+N(G271)))))</f>
        <v/>
      </c>
      <c r="K271" s="76">
        <f>IF(B271="","",DATE(YEAR(B271),MONTH(B271),1))</f>
        <v/>
      </c>
      <c r="L271" s="77">
        <f>IF(B271="","",YEAR(B271))</f>
        <v/>
      </c>
    </row>
    <row r="272" ht="19" customHeight="1">
      <c r="A272" s="69">
        <f>IF(B272="","",ROW()-5)</f>
        <v/>
      </c>
      <c r="B272" s="43" t="n"/>
      <c r="C272" s="41" t="n"/>
      <c r="D272" s="41" t="n"/>
      <c r="E272" s="70" t="n"/>
      <c r="F272" s="71" t="n"/>
      <c r="G272" s="72" t="n"/>
      <c r="H272" s="73" t="n"/>
      <c r="I272" s="74">
        <f>IF(OR(E272="",F272=""),"",E272*F272)</f>
        <v/>
      </c>
      <c r="J272" s="75">
        <f>IF(I272="","",IF(D272="Buy",I272+N(G272),IF(D272="Sell",I272-N(G272),IF(D272="Dividend",I272-N(G272),I272+N(G272)))))</f>
        <v/>
      </c>
      <c r="K272" s="76">
        <f>IF(B272="","",DATE(YEAR(B272),MONTH(B272),1))</f>
        <v/>
      </c>
      <c r="L272" s="77">
        <f>IF(B272="","",YEAR(B272))</f>
        <v/>
      </c>
    </row>
    <row r="273" ht="19" customHeight="1">
      <c r="A273" s="69">
        <f>IF(B273="","",ROW()-5)</f>
        <v/>
      </c>
      <c r="B273" s="43" t="n"/>
      <c r="C273" s="41" t="n"/>
      <c r="D273" s="41" t="n"/>
      <c r="E273" s="70" t="n"/>
      <c r="F273" s="71" t="n"/>
      <c r="G273" s="72" t="n"/>
      <c r="H273" s="73" t="n"/>
      <c r="I273" s="74">
        <f>IF(OR(E273="",F273=""),"",E273*F273)</f>
        <v/>
      </c>
      <c r="J273" s="75">
        <f>IF(I273="","",IF(D273="Buy",I273+N(G273),IF(D273="Sell",I273-N(G273),IF(D273="Dividend",I273-N(G273),I273+N(G273)))))</f>
        <v/>
      </c>
      <c r="K273" s="76">
        <f>IF(B273="","",DATE(YEAR(B273),MONTH(B273),1))</f>
        <v/>
      </c>
      <c r="L273" s="77">
        <f>IF(B273="","",YEAR(B273))</f>
        <v/>
      </c>
    </row>
    <row r="274" ht="19" customHeight="1">
      <c r="A274" s="69">
        <f>IF(B274="","",ROW()-5)</f>
        <v/>
      </c>
      <c r="B274" s="43" t="n"/>
      <c r="C274" s="41" t="n"/>
      <c r="D274" s="41" t="n"/>
      <c r="E274" s="70" t="n"/>
      <c r="F274" s="71" t="n"/>
      <c r="G274" s="72" t="n"/>
      <c r="H274" s="73" t="n"/>
      <c r="I274" s="74">
        <f>IF(OR(E274="",F274=""),"",E274*F274)</f>
        <v/>
      </c>
      <c r="J274" s="75">
        <f>IF(I274="","",IF(D274="Buy",I274+N(G274),IF(D274="Sell",I274-N(G274),IF(D274="Dividend",I274-N(G274),I274+N(G274)))))</f>
        <v/>
      </c>
      <c r="K274" s="76">
        <f>IF(B274="","",DATE(YEAR(B274),MONTH(B274),1))</f>
        <v/>
      </c>
      <c r="L274" s="77">
        <f>IF(B274="","",YEAR(B274))</f>
        <v/>
      </c>
    </row>
    <row r="275" ht="19" customHeight="1">
      <c r="A275" s="69">
        <f>IF(B275="","",ROW()-5)</f>
        <v/>
      </c>
      <c r="B275" s="43" t="n"/>
      <c r="C275" s="41" t="n"/>
      <c r="D275" s="41" t="n"/>
      <c r="E275" s="70" t="n"/>
      <c r="F275" s="71" t="n"/>
      <c r="G275" s="72" t="n"/>
      <c r="H275" s="73" t="n"/>
      <c r="I275" s="74">
        <f>IF(OR(E275="",F275=""),"",E275*F275)</f>
        <v/>
      </c>
      <c r="J275" s="75">
        <f>IF(I275="","",IF(D275="Buy",I275+N(G275),IF(D275="Sell",I275-N(G275),IF(D275="Dividend",I275-N(G275),I275+N(G275)))))</f>
        <v/>
      </c>
      <c r="K275" s="76">
        <f>IF(B275="","",DATE(YEAR(B275),MONTH(B275),1))</f>
        <v/>
      </c>
      <c r="L275" s="77">
        <f>IF(B275="","",YEAR(B275))</f>
        <v/>
      </c>
    </row>
    <row r="276" ht="19" customHeight="1">
      <c r="A276" s="69">
        <f>IF(B276="","",ROW()-5)</f>
        <v/>
      </c>
      <c r="B276" s="43" t="n"/>
      <c r="C276" s="41" t="n"/>
      <c r="D276" s="41" t="n"/>
      <c r="E276" s="70" t="n"/>
      <c r="F276" s="71" t="n"/>
      <c r="G276" s="72" t="n"/>
      <c r="H276" s="73" t="n"/>
      <c r="I276" s="74">
        <f>IF(OR(E276="",F276=""),"",E276*F276)</f>
        <v/>
      </c>
      <c r="J276" s="75">
        <f>IF(I276="","",IF(D276="Buy",I276+N(G276),IF(D276="Sell",I276-N(G276),IF(D276="Dividend",I276-N(G276),I276+N(G276)))))</f>
        <v/>
      </c>
      <c r="K276" s="76">
        <f>IF(B276="","",DATE(YEAR(B276),MONTH(B276),1))</f>
        <v/>
      </c>
      <c r="L276" s="77">
        <f>IF(B276="","",YEAR(B276))</f>
        <v/>
      </c>
    </row>
    <row r="277" ht="19" customHeight="1">
      <c r="A277" s="69">
        <f>IF(B277="","",ROW()-5)</f>
        <v/>
      </c>
      <c r="B277" s="43" t="n"/>
      <c r="C277" s="41" t="n"/>
      <c r="D277" s="41" t="n"/>
      <c r="E277" s="70" t="n"/>
      <c r="F277" s="71" t="n"/>
      <c r="G277" s="72" t="n"/>
      <c r="H277" s="73" t="n"/>
      <c r="I277" s="74">
        <f>IF(OR(E277="",F277=""),"",E277*F277)</f>
        <v/>
      </c>
      <c r="J277" s="75">
        <f>IF(I277="","",IF(D277="Buy",I277+N(G277),IF(D277="Sell",I277-N(G277),IF(D277="Dividend",I277-N(G277),I277+N(G277)))))</f>
        <v/>
      </c>
      <c r="K277" s="76">
        <f>IF(B277="","",DATE(YEAR(B277),MONTH(B277),1))</f>
        <v/>
      </c>
      <c r="L277" s="77">
        <f>IF(B277="","",YEAR(B277))</f>
        <v/>
      </c>
    </row>
    <row r="278" ht="19" customHeight="1">
      <c r="A278" s="69">
        <f>IF(B278="","",ROW()-5)</f>
        <v/>
      </c>
      <c r="B278" s="43" t="n"/>
      <c r="C278" s="41" t="n"/>
      <c r="D278" s="41" t="n"/>
      <c r="E278" s="70" t="n"/>
      <c r="F278" s="71" t="n"/>
      <c r="G278" s="72" t="n"/>
      <c r="H278" s="73" t="n"/>
      <c r="I278" s="74">
        <f>IF(OR(E278="",F278=""),"",E278*F278)</f>
        <v/>
      </c>
      <c r="J278" s="75">
        <f>IF(I278="","",IF(D278="Buy",I278+N(G278),IF(D278="Sell",I278-N(G278),IF(D278="Dividend",I278-N(G278),I278+N(G278)))))</f>
        <v/>
      </c>
      <c r="K278" s="76">
        <f>IF(B278="","",DATE(YEAR(B278),MONTH(B278),1))</f>
        <v/>
      </c>
      <c r="L278" s="77">
        <f>IF(B278="","",YEAR(B278))</f>
        <v/>
      </c>
    </row>
    <row r="279" ht="19" customHeight="1">
      <c r="A279" s="69">
        <f>IF(B279="","",ROW()-5)</f>
        <v/>
      </c>
      <c r="B279" s="43" t="n"/>
      <c r="C279" s="41" t="n"/>
      <c r="D279" s="41" t="n"/>
      <c r="E279" s="70" t="n"/>
      <c r="F279" s="71" t="n"/>
      <c r="G279" s="72" t="n"/>
      <c r="H279" s="73" t="n"/>
      <c r="I279" s="74">
        <f>IF(OR(E279="",F279=""),"",E279*F279)</f>
        <v/>
      </c>
      <c r="J279" s="75">
        <f>IF(I279="","",IF(D279="Buy",I279+N(G279),IF(D279="Sell",I279-N(G279),IF(D279="Dividend",I279-N(G279),I279+N(G279)))))</f>
        <v/>
      </c>
      <c r="K279" s="76">
        <f>IF(B279="","",DATE(YEAR(B279),MONTH(B279),1))</f>
        <v/>
      </c>
      <c r="L279" s="77">
        <f>IF(B279="","",YEAR(B279))</f>
        <v/>
      </c>
    </row>
    <row r="280" ht="19" customHeight="1">
      <c r="A280" s="69">
        <f>IF(B280="","",ROW()-5)</f>
        <v/>
      </c>
      <c r="B280" s="43" t="n"/>
      <c r="C280" s="41" t="n"/>
      <c r="D280" s="41" t="n"/>
      <c r="E280" s="70" t="n"/>
      <c r="F280" s="71" t="n"/>
      <c r="G280" s="72" t="n"/>
      <c r="H280" s="73" t="n"/>
      <c r="I280" s="74">
        <f>IF(OR(E280="",F280=""),"",E280*F280)</f>
        <v/>
      </c>
      <c r="J280" s="75">
        <f>IF(I280="","",IF(D280="Buy",I280+N(G280),IF(D280="Sell",I280-N(G280),IF(D280="Dividend",I280-N(G280),I280+N(G280)))))</f>
        <v/>
      </c>
      <c r="K280" s="76">
        <f>IF(B280="","",DATE(YEAR(B280),MONTH(B280),1))</f>
        <v/>
      </c>
      <c r="L280" s="77">
        <f>IF(B280="","",YEAR(B280))</f>
        <v/>
      </c>
    </row>
    <row r="281" ht="19" customHeight="1">
      <c r="A281" s="69">
        <f>IF(B281="","",ROW()-5)</f>
        <v/>
      </c>
      <c r="B281" s="43" t="n"/>
      <c r="C281" s="41" t="n"/>
      <c r="D281" s="41" t="n"/>
      <c r="E281" s="70" t="n"/>
      <c r="F281" s="71" t="n"/>
      <c r="G281" s="72" t="n"/>
      <c r="H281" s="73" t="n"/>
      <c r="I281" s="74">
        <f>IF(OR(E281="",F281=""),"",E281*F281)</f>
        <v/>
      </c>
      <c r="J281" s="75">
        <f>IF(I281="","",IF(D281="Buy",I281+N(G281),IF(D281="Sell",I281-N(G281),IF(D281="Dividend",I281-N(G281),I281+N(G281)))))</f>
        <v/>
      </c>
      <c r="K281" s="76">
        <f>IF(B281="","",DATE(YEAR(B281),MONTH(B281),1))</f>
        <v/>
      </c>
      <c r="L281" s="77">
        <f>IF(B281="","",YEAR(B281))</f>
        <v/>
      </c>
    </row>
    <row r="282" ht="19" customHeight="1">
      <c r="A282" s="69">
        <f>IF(B282="","",ROW()-5)</f>
        <v/>
      </c>
      <c r="B282" s="43" t="n"/>
      <c r="C282" s="41" t="n"/>
      <c r="D282" s="41" t="n"/>
      <c r="E282" s="70" t="n"/>
      <c r="F282" s="71" t="n"/>
      <c r="G282" s="72" t="n"/>
      <c r="H282" s="73" t="n"/>
      <c r="I282" s="74">
        <f>IF(OR(E282="",F282=""),"",E282*F282)</f>
        <v/>
      </c>
      <c r="J282" s="75">
        <f>IF(I282="","",IF(D282="Buy",I282+N(G282),IF(D282="Sell",I282-N(G282),IF(D282="Dividend",I282-N(G282),I282+N(G282)))))</f>
        <v/>
      </c>
      <c r="K282" s="76">
        <f>IF(B282="","",DATE(YEAR(B282),MONTH(B282),1))</f>
        <v/>
      </c>
      <c r="L282" s="77">
        <f>IF(B282="","",YEAR(B282))</f>
        <v/>
      </c>
    </row>
    <row r="283" ht="19" customHeight="1">
      <c r="A283" s="69">
        <f>IF(B283="","",ROW()-5)</f>
        <v/>
      </c>
      <c r="B283" s="43" t="n"/>
      <c r="C283" s="41" t="n"/>
      <c r="D283" s="41" t="n"/>
      <c r="E283" s="70" t="n"/>
      <c r="F283" s="71" t="n"/>
      <c r="G283" s="72" t="n"/>
      <c r="H283" s="73" t="n"/>
      <c r="I283" s="74">
        <f>IF(OR(E283="",F283=""),"",E283*F283)</f>
        <v/>
      </c>
      <c r="J283" s="75">
        <f>IF(I283="","",IF(D283="Buy",I283+N(G283),IF(D283="Sell",I283-N(G283),IF(D283="Dividend",I283-N(G283),I283+N(G283)))))</f>
        <v/>
      </c>
      <c r="K283" s="76">
        <f>IF(B283="","",DATE(YEAR(B283),MONTH(B283),1))</f>
        <v/>
      </c>
      <c r="L283" s="77">
        <f>IF(B283="","",YEAR(B283))</f>
        <v/>
      </c>
    </row>
    <row r="284" ht="19" customHeight="1">
      <c r="A284" s="69">
        <f>IF(B284="","",ROW()-5)</f>
        <v/>
      </c>
      <c r="B284" s="43" t="n"/>
      <c r="C284" s="41" t="n"/>
      <c r="D284" s="41" t="n"/>
      <c r="E284" s="70" t="n"/>
      <c r="F284" s="71" t="n"/>
      <c r="G284" s="72" t="n"/>
      <c r="H284" s="73" t="n"/>
      <c r="I284" s="74">
        <f>IF(OR(E284="",F284=""),"",E284*F284)</f>
        <v/>
      </c>
      <c r="J284" s="75">
        <f>IF(I284="","",IF(D284="Buy",I284+N(G284),IF(D284="Sell",I284-N(G284),IF(D284="Dividend",I284-N(G284),I284+N(G284)))))</f>
        <v/>
      </c>
      <c r="K284" s="76">
        <f>IF(B284="","",DATE(YEAR(B284),MONTH(B284),1))</f>
        <v/>
      </c>
      <c r="L284" s="77">
        <f>IF(B284="","",YEAR(B284))</f>
        <v/>
      </c>
    </row>
    <row r="285" ht="19" customHeight="1">
      <c r="A285" s="69">
        <f>IF(B285="","",ROW()-5)</f>
        <v/>
      </c>
      <c r="B285" s="43" t="n"/>
      <c r="C285" s="41" t="n"/>
      <c r="D285" s="41" t="n"/>
      <c r="E285" s="70" t="n"/>
      <c r="F285" s="71" t="n"/>
      <c r="G285" s="72" t="n"/>
      <c r="H285" s="73" t="n"/>
      <c r="I285" s="74">
        <f>IF(OR(E285="",F285=""),"",E285*F285)</f>
        <v/>
      </c>
      <c r="J285" s="75">
        <f>IF(I285="","",IF(D285="Buy",I285+N(G285),IF(D285="Sell",I285-N(G285),IF(D285="Dividend",I285-N(G285),I285+N(G285)))))</f>
        <v/>
      </c>
      <c r="K285" s="76">
        <f>IF(B285="","",DATE(YEAR(B285),MONTH(B285),1))</f>
        <v/>
      </c>
      <c r="L285" s="77">
        <f>IF(B285="","",YEAR(B285))</f>
        <v/>
      </c>
    </row>
    <row r="286" ht="19" customHeight="1">
      <c r="A286" s="69">
        <f>IF(B286="","",ROW()-5)</f>
        <v/>
      </c>
      <c r="B286" s="43" t="n"/>
      <c r="C286" s="41" t="n"/>
      <c r="D286" s="41" t="n"/>
      <c r="E286" s="70" t="n"/>
      <c r="F286" s="71" t="n"/>
      <c r="G286" s="72" t="n"/>
      <c r="H286" s="73" t="n"/>
      <c r="I286" s="74">
        <f>IF(OR(E286="",F286=""),"",E286*F286)</f>
        <v/>
      </c>
      <c r="J286" s="75">
        <f>IF(I286="","",IF(D286="Buy",I286+N(G286),IF(D286="Sell",I286-N(G286),IF(D286="Dividend",I286-N(G286),I286+N(G286)))))</f>
        <v/>
      </c>
      <c r="K286" s="76">
        <f>IF(B286="","",DATE(YEAR(B286),MONTH(B286),1))</f>
        <v/>
      </c>
      <c r="L286" s="77">
        <f>IF(B286="","",YEAR(B286))</f>
        <v/>
      </c>
    </row>
    <row r="287" ht="19" customHeight="1">
      <c r="A287" s="69">
        <f>IF(B287="","",ROW()-5)</f>
        <v/>
      </c>
      <c r="B287" s="43" t="n"/>
      <c r="C287" s="41" t="n"/>
      <c r="D287" s="41" t="n"/>
      <c r="E287" s="70" t="n"/>
      <c r="F287" s="71" t="n"/>
      <c r="G287" s="72" t="n"/>
      <c r="H287" s="73" t="n"/>
      <c r="I287" s="74">
        <f>IF(OR(E287="",F287=""),"",E287*F287)</f>
        <v/>
      </c>
      <c r="J287" s="75">
        <f>IF(I287="","",IF(D287="Buy",I287+N(G287),IF(D287="Sell",I287-N(G287),IF(D287="Dividend",I287-N(G287),I287+N(G287)))))</f>
        <v/>
      </c>
      <c r="K287" s="76">
        <f>IF(B287="","",DATE(YEAR(B287),MONTH(B287),1))</f>
        <v/>
      </c>
      <c r="L287" s="77">
        <f>IF(B287="","",YEAR(B287))</f>
        <v/>
      </c>
    </row>
    <row r="288" ht="19" customHeight="1">
      <c r="A288" s="69">
        <f>IF(B288="","",ROW()-5)</f>
        <v/>
      </c>
      <c r="B288" s="43" t="n"/>
      <c r="C288" s="41" t="n"/>
      <c r="D288" s="41" t="n"/>
      <c r="E288" s="70" t="n"/>
      <c r="F288" s="71" t="n"/>
      <c r="G288" s="72" t="n"/>
      <c r="H288" s="73" t="n"/>
      <c r="I288" s="74">
        <f>IF(OR(E288="",F288=""),"",E288*F288)</f>
        <v/>
      </c>
      <c r="J288" s="75">
        <f>IF(I288="","",IF(D288="Buy",I288+N(G288),IF(D288="Sell",I288-N(G288),IF(D288="Dividend",I288-N(G288),I288+N(G288)))))</f>
        <v/>
      </c>
      <c r="K288" s="76">
        <f>IF(B288="","",DATE(YEAR(B288),MONTH(B288),1))</f>
        <v/>
      </c>
      <c r="L288" s="77">
        <f>IF(B288="","",YEAR(B288))</f>
        <v/>
      </c>
    </row>
    <row r="289" ht="19" customHeight="1">
      <c r="A289" s="69">
        <f>IF(B289="","",ROW()-5)</f>
        <v/>
      </c>
      <c r="B289" s="43" t="n"/>
      <c r="C289" s="41" t="n"/>
      <c r="D289" s="41" t="n"/>
      <c r="E289" s="70" t="n"/>
      <c r="F289" s="71" t="n"/>
      <c r="G289" s="72" t="n"/>
      <c r="H289" s="73" t="n"/>
      <c r="I289" s="74">
        <f>IF(OR(E289="",F289=""),"",E289*F289)</f>
        <v/>
      </c>
      <c r="J289" s="75">
        <f>IF(I289="","",IF(D289="Buy",I289+N(G289),IF(D289="Sell",I289-N(G289),IF(D289="Dividend",I289-N(G289),I289+N(G289)))))</f>
        <v/>
      </c>
      <c r="K289" s="76">
        <f>IF(B289="","",DATE(YEAR(B289),MONTH(B289),1))</f>
        <v/>
      </c>
      <c r="L289" s="77">
        <f>IF(B289="","",YEAR(B289))</f>
        <v/>
      </c>
    </row>
    <row r="290" ht="19" customHeight="1">
      <c r="A290" s="69">
        <f>IF(B290="","",ROW()-5)</f>
        <v/>
      </c>
      <c r="B290" s="43" t="n"/>
      <c r="C290" s="41" t="n"/>
      <c r="D290" s="41" t="n"/>
      <c r="E290" s="70" t="n"/>
      <c r="F290" s="71" t="n"/>
      <c r="G290" s="72" t="n"/>
      <c r="H290" s="73" t="n"/>
      <c r="I290" s="74">
        <f>IF(OR(E290="",F290=""),"",E290*F290)</f>
        <v/>
      </c>
      <c r="J290" s="75">
        <f>IF(I290="","",IF(D290="Buy",I290+N(G290),IF(D290="Sell",I290-N(G290),IF(D290="Dividend",I290-N(G290),I290+N(G290)))))</f>
        <v/>
      </c>
      <c r="K290" s="76">
        <f>IF(B290="","",DATE(YEAR(B290),MONTH(B290),1))</f>
        <v/>
      </c>
      <c r="L290" s="77">
        <f>IF(B290="","",YEAR(B290))</f>
        <v/>
      </c>
    </row>
    <row r="291" ht="19" customHeight="1">
      <c r="A291" s="69">
        <f>IF(B291="","",ROW()-5)</f>
        <v/>
      </c>
      <c r="B291" s="43" t="n"/>
      <c r="C291" s="41" t="n"/>
      <c r="D291" s="41" t="n"/>
      <c r="E291" s="70" t="n"/>
      <c r="F291" s="71" t="n"/>
      <c r="G291" s="72" t="n"/>
      <c r="H291" s="73" t="n"/>
      <c r="I291" s="74">
        <f>IF(OR(E291="",F291=""),"",E291*F291)</f>
        <v/>
      </c>
      <c r="J291" s="75">
        <f>IF(I291="","",IF(D291="Buy",I291+N(G291),IF(D291="Sell",I291-N(G291),IF(D291="Dividend",I291-N(G291),I291+N(G291)))))</f>
        <v/>
      </c>
      <c r="K291" s="76">
        <f>IF(B291="","",DATE(YEAR(B291),MONTH(B291),1))</f>
        <v/>
      </c>
      <c r="L291" s="77">
        <f>IF(B291="","",YEAR(B291))</f>
        <v/>
      </c>
    </row>
    <row r="292" ht="19" customHeight="1">
      <c r="A292" s="69">
        <f>IF(B292="","",ROW()-5)</f>
        <v/>
      </c>
      <c r="B292" s="43" t="n"/>
      <c r="C292" s="41" t="n"/>
      <c r="D292" s="41" t="n"/>
      <c r="E292" s="70" t="n"/>
      <c r="F292" s="71" t="n"/>
      <c r="G292" s="72" t="n"/>
      <c r="H292" s="73" t="n"/>
      <c r="I292" s="74">
        <f>IF(OR(E292="",F292=""),"",E292*F292)</f>
        <v/>
      </c>
      <c r="J292" s="75">
        <f>IF(I292="","",IF(D292="Buy",I292+N(G292),IF(D292="Sell",I292-N(G292),IF(D292="Dividend",I292-N(G292),I292+N(G292)))))</f>
        <v/>
      </c>
      <c r="K292" s="76">
        <f>IF(B292="","",DATE(YEAR(B292),MONTH(B292),1))</f>
        <v/>
      </c>
      <c r="L292" s="77">
        <f>IF(B292="","",YEAR(B292))</f>
        <v/>
      </c>
    </row>
    <row r="293" ht="19" customHeight="1">
      <c r="A293" s="69">
        <f>IF(B293="","",ROW()-5)</f>
        <v/>
      </c>
      <c r="B293" s="43" t="n"/>
      <c r="C293" s="41" t="n"/>
      <c r="D293" s="41" t="n"/>
      <c r="E293" s="70" t="n"/>
      <c r="F293" s="71" t="n"/>
      <c r="G293" s="72" t="n"/>
      <c r="H293" s="73" t="n"/>
      <c r="I293" s="74">
        <f>IF(OR(E293="",F293=""),"",E293*F293)</f>
        <v/>
      </c>
      <c r="J293" s="75">
        <f>IF(I293="","",IF(D293="Buy",I293+N(G293),IF(D293="Sell",I293-N(G293),IF(D293="Dividend",I293-N(G293),I293+N(G293)))))</f>
        <v/>
      </c>
      <c r="K293" s="76">
        <f>IF(B293="","",DATE(YEAR(B293),MONTH(B293),1))</f>
        <v/>
      </c>
      <c r="L293" s="77">
        <f>IF(B293="","",YEAR(B293))</f>
        <v/>
      </c>
    </row>
    <row r="294" ht="19" customHeight="1">
      <c r="A294" s="69">
        <f>IF(B294="","",ROW()-5)</f>
        <v/>
      </c>
      <c r="B294" s="43" t="n"/>
      <c r="C294" s="41" t="n"/>
      <c r="D294" s="41" t="n"/>
      <c r="E294" s="70" t="n"/>
      <c r="F294" s="71" t="n"/>
      <c r="G294" s="72" t="n"/>
      <c r="H294" s="73" t="n"/>
      <c r="I294" s="74">
        <f>IF(OR(E294="",F294=""),"",E294*F294)</f>
        <v/>
      </c>
      <c r="J294" s="75">
        <f>IF(I294="","",IF(D294="Buy",I294+N(G294),IF(D294="Sell",I294-N(G294),IF(D294="Dividend",I294-N(G294),I294+N(G294)))))</f>
        <v/>
      </c>
      <c r="K294" s="76">
        <f>IF(B294="","",DATE(YEAR(B294),MONTH(B294),1))</f>
        <v/>
      </c>
      <c r="L294" s="77">
        <f>IF(B294="","",YEAR(B294))</f>
        <v/>
      </c>
    </row>
    <row r="295" ht="19" customHeight="1">
      <c r="A295" s="69">
        <f>IF(B295="","",ROW()-5)</f>
        <v/>
      </c>
      <c r="B295" s="43" t="n"/>
      <c r="C295" s="41" t="n"/>
      <c r="D295" s="41" t="n"/>
      <c r="E295" s="70" t="n"/>
      <c r="F295" s="71" t="n"/>
      <c r="G295" s="72" t="n"/>
      <c r="H295" s="73" t="n"/>
      <c r="I295" s="74">
        <f>IF(OR(E295="",F295=""),"",E295*F295)</f>
        <v/>
      </c>
      <c r="J295" s="75">
        <f>IF(I295="","",IF(D295="Buy",I295+N(G295),IF(D295="Sell",I295-N(G295),IF(D295="Dividend",I295-N(G295),I295+N(G295)))))</f>
        <v/>
      </c>
      <c r="K295" s="76">
        <f>IF(B295="","",DATE(YEAR(B295),MONTH(B295),1))</f>
        <v/>
      </c>
      <c r="L295" s="77">
        <f>IF(B295="","",YEAR(B295))</f>
        <v/>
      </c>
    </row>
    <row r="296" ht="19" customHeight="1">
      <c r="A296" s="69">
        <f>IF(B296="","",ROW()-5)</f>
        <v/>
      </c>
      <c r="B296" s="43" t="n"/>
      <c r="C296" s="41" t="n"/>
      <c r="D296" s="41" t="n"/>
      <c r="E296" s="70" t="n"/>
      <c r="F296" s="71" t="n"/>
      <c r="G296" s="72" t="n"/>
      <c r="H296" s="73" t="n"/>
      <c r="I296" s="74">
        <f>IF(OR(E296="",F296=""),"",E296*F296)</f>
        <v/>
      </c>
      <c r="J296" s="75">
        <f>IF(I296="","",IF(D296="Buy",I296+N(G296),IF(D296="Sell",I296-N(G296),IF(D296="Dividend",I296-N(G296),I296+N(G296)))))</f>
        <v/>
      </c>
      <c r="K296" s="76">
        <f>IF(B296="","",DATE(YEAR(B296),MONTH(B296),1))</f>
        <v/>
      </c>
      <c r="L296" s="77">
        <f>IF(B296="","",YEAR(B296))</f>
        <v/>
      </c>
    </row>
    <row r="297" ht="19" customHeight="1">
      <c r="A297" s="69">
        <f>IF(B297="","",ROW()-5)</f>
        <v/>
      </c>
      <c r="B297" s="43" t="n"/>
      <c r="C297" s="41" t="n"/>
      <c r="D297" s="41" t="n"/>
      <c r="E297" s="70" t="n"/>
      <c r="F297" s="71" t="n"/>
      <c r="G297" s="72" t="n"/>
      <c r="H297" s="73" t="n"/>
      <c r="I297" s="74">
        <f>IF(OR(E297="",F297=""),"",E297*F297)</f>
        <v/>
      </c>
      <c r="J297" s="75">
        <f>IF(I297="","",IF(D297="Buy",I297+N(G297),IF(D297="Sell",I297-N(G297),IF(D297="Dividend",I297-N(G297),I297+N(G297)))))</f>
        <v/>
      </c>
      <c r="K297" s="76">
        <f>IF(B297="","",DATE(YEAR(B297),MONTH(B297),1))</f>
        <v/>
      </c>
      <c r="L297" s="77">
        <f>IF(B297="","",YEAR(B297))</f>
        <v/>
      </c>
    </row>
    <row r="298" ht="19" customHeight="1">
      <c r="A298" s="69">
        <f>IF(B298="","",ROW()-5)</f>
        <v/>
      </c>
      <c r="B298" s="43" t="n"/>
      <c r="C298" s="41" t="n"/>
      <c r="D298" s="41" t="n"/>
      <c r="E298" s="70" t="n"/>
      <c r="F298" s="71" t="n"/>
      <c r="G298" s="72" t="n"/>
      <c r="H298" s="73" t="n"/>
      <c r="I298" s="74">
        <f>IF(OR(E298="",F298=""),"",E298*F298)</f>
        <v/>
      </c>
      <c r="J298" s="75">
        <f>IF(I298="","",IF(D298="Buy",I298+N(G298),IF(D298="Sell",I298-N(G298),IF(D298="Dividend",I298-N(G298),I298+N(G298)))))</f>
        <v/>
      </c>
      <c r="K298" s="76">
        <f>IF(B298="","",DATE(YEAR(B298),MONTH(B298),1))</f>
        <v/>
      </c>
      <c r="L298" s="77">
        <f>IF(B298="","",YEAR(B298))</f>
        <v/>
      </c>
    </row>
    <row r="299" ht="19" customHeight="1">
      <c r="A299" s="69">
        <f>IF(B299="","",ROW()-5)</f>
        <v/>
      </c>
      <c r="B299" s="43" t="n"/>
      <c r="C299" s="41" t="n"/>
      <c r="D299" s="41" t="n"/>
      <c r="E299" s="70" t="n"/>
      <c r="F299" s="71" t="n"/>
      <c r="G299" s="72" t="n"/>
      <c r="H299" s="73" t="n"/>
      <c r="I299" s="74">
        <f>IF(OR(E299="",F299=""),"",E299*F299)</f>
        <v/>
      </c>
      <c r="J299" s="75">
        <f>IF(I299="","",IF(D299="Buy",I299+N(G299),IF(D299="Sell",I299-N(G299),IF(D299="Dividend",I299-N(G299),I299+N(G299)))))</f>
        <v/>
      </c>
      <c r="K299" s="76">
        <f>IF(B299="","",DATE(YEAR(B299),MONTH(B299),1))</f>
        <v/>
      </c>
      <c r="L299" s="77">
        <f>IF(B299="","",YEAR(B299))</f>
        <v/>
      </c>
    </row>
    <row r="300" ht="19" customHeight="1">
      <c r="A300" s="69">
        <f>IF(B300="","",ROW()-5)</f>
        <v/>
      </c>
      <c r="B300" s="43" t="n"/>
      <c r="C300" s="41" t="n"/>
      <c r="D300" s="41" t="n"/>
      <c r="E300" s="70" t="n"/>
      <c r="F300" s="71" t="n"/>
      <c r="G300" s="72" t="n"/>
      <c r="H300" s="73" t="n"/>
      <c r="I300" s="74">
        <f>IF(OR(E300="",F300=""),"",E300*F300)</f>
        <v/>
      </c>
      <c r="J300" s="75">
        <f>IF(I300="","",IF(D300="Buy",I300+N(G300),IF(D300="Sell",I300-N(G300),IF(D300="Dividend",I300-N(G300),I300+N(G300)))))</f>
        <v/>
      </c>
      <c r="K300" s="76">
        <f>IF(B300="","",DATE(YEAR(B300),MONTH(B300),1))</f>
        <v/>
      </c>
      <c r="L300" s="77">
        <f>IF(B300="","",YEAR(B300))</f>
        <v/>
      </c>
    </row>
    <row r="301" ht="19" customHeight="1">
      <c r="A301" s="69">
        <f>IF(B301="","",ROW()-5)</f>
        <v/>
      </c>
      <c r="B301" s="43" t="n"/>
      <c r="C301" s="41" t="n"/>
      <c r="D301" s="41" t="n"/>
      <c r="E301" s="70" t="n"/>
      <c r="F301" s="71" t="n"/>
      <c r="G301" s="72" t="n"/>
      <c r="H301" s="73" t="n"/>
      <c r="I301" s="74">
        <f>IF(OR(E301="",F301=""),"",E301*F301)</f>
        <v/>
      </c>
      <c r="J301" s="75">
        <f>IF(I301="","",IF(D301="Buy",I301+N(G301),IF(D301="Sell",I301-N(G301),IF(D301="Dividend",I301-N(G301),I301+N(G301)))))</f>
        <v/>
      </c>
      <c r="K301" s="76">
        <f>IF(B301="","",DATE(YEAR(B301),MONTH(B301),1))</f>
        <v/>
      </c>
      <c r="L301" s="77">
        <f>IF(B301="","",YEAR(B301))</f>
        <v/>
      </c>
    </row>
    <row r="302" ht="19" customHeight="1">
      <c r="A302" s="69">
        <f>IF(B302="","",ROW()-5)</f>
        <v/>
      </c>
      <c r="B302" s="43" t="n"/>
      <c r="C302" s="41" t="n"/>
      <c r="D302" s="41" t="n"/>
      <c r="E302" s="70" t="n"/>
      <c r="F302" s="71" t="n"/>
      <c r="G302" s="72" t="n"/>
      <c r="H302" s="73" t="n"/>
      <c r="I302" s="74">
        <f>IF(OR(E302="",F302=""),"",E302*F302)</f>
        <v/>
      </c>
      <c r="J302" s="75">
        <f>IF(I302="","",IF(D302="Buy",I302+N(G302),IF(D302="Sell",I302-N(G302),IF(D302="Dividend",I302-N(G302),I302+N(G302)))))</f>
        <v/>
      </c>
      <c r="K302" s="76">
        <f>IF(B302="","",DATE(YEAR(B302),MONTH(B302),1))</f>
        <v/>
      </c>
      <c r="L302" s="77">
        <f>IF(B302="","",YEAR(B302))</f>
        <v/>
      </c>
    </row>
    <row r="303" ht="19" customHeight="1">
      <c r="A303" s="69">
        <f>IF(B303="","",ROW()-5)</f>
        <v/>
      </c>
      <c r="B303" s="43" t="n"/>
      <c r="C303" s="41" t="n"/>
      <c r="D303" s="41" t="n"/>
      <c r="E303" s="70" t="n"/>
      <c r="F303" s="71" t="n"/>
      <c r="G303" s="72" t="n"/>
      <c r="H303" s="73" t="n"/>
      <c r="I303" s="74">
        <f>IF(OR(E303="",F303=""),"",E303*F303)</f>
        <v/>
      </c>
      <c r="J303" s="75">
        <f>IF(I303="","",IF(D303="Buy",I303+N(G303),IF(D303="Sell",I303-N(G303),IF(D303="Dividend",I303-N(G303),I303+N(G303)))))</f>
        <v/>
      </c>
      <c r="K303" s="76">
        <f>IF(B303="","",DATE(YEAR(B303),MONTH(B303),1))</f>
        <v/>
      </c>
      <c r="L303" s="77">
        <f>IF(B303="","",YEAR(B303))</f>
        <v/>
      </c>
    </row>
    <row r="304" ht="19" customHeight="1">
      <c r="A304" s="69">
        <f>IF(B304="","",ROW()-5)</f>
        <v/>
      </c>
      <c r="B304" s="43" t="n"/>
      <c r="C304" s="41" t="n"/>
      <c r="D304" s="41" t="n"/>
      <c r="E304" s="70" t="n"/>
      <c r="F304" s="71" t="n"/>
      <c r="G304" s="72" t="n"/>
      <c r="H304" s="73" t="n"/>
      <c r="I304" s="74">
        <f>IF(OR(E304="",F304=""),"",E304*F304)</f>
        <v/>
      </c>
      <c r="J304" s="75">
        <f>IF(I304="","",IF(D304="Buy",I304+N(G304),IF(D304="Sell",I304-N(G304),IF(D304="Dividend",I304-N(G304),I304+N(G304)))))</f>
        <v/>
      </c>
      <c r="K304" s="76">
        <f>IF(B304="","",DATE(YEAR(B304),MONTH(B304),1))</f>
        <v/>
      </c>
      <c r="L304" s="77">
        <f>IF(B304="","",YEAR(B304))</f>
        <v/>
      </c>
    </row>
    <row r="305" ht="19" customHeight="1">
      <c r="A305" s="69">
        <f>IF(B305="","",ROW()-5)</f>
        <v/>
      </c>
      <c r="B305" s="43" t="n"/>
      <c r="C305" s="41" t="n"/>
      <c r="D305" s="41" t="n"/>
      <c r="E305" s="70" t="n"/>
      <c r="F305" s="71" t="n"/>
      <c r="G305" s="72" t="n"/>
      <c r="H305" s="73" t="n"/>
      <c r="I305" s="74">
        <f>IF(OR(E305="",F305=""),"",E305*F305)</f>
        <v/>
      </c>
      <c r="J305" s="75">
        <f>IF(I305="","",IF(D305="Buy",I305+N(G305),IF(D305="Sell",I305-N(G305),IF(D305="Dividend",I305-N(G305),I305+N(G305)))))</f>
        <v/>
      </c>
      <c r="K305" s="76">
        <f>IF(B305="","",DATE(YEAR(B305),MONTH(B305),1))</f>
        <v/>
      </c>
      <c r="L305" s="77">
        <f>IF(B305="","",YEAR(B305))</f>
        <v/>
      </c>
    </row>
    <row r="306" ht="19" customHeight="1">
      <c r="A306" s="69">
        <f>IF(B306="","",ROW()-5)</f>
        <v/>
      </c>
      <c r="B306" s="43" t="n"/>
      <c r="C306" s="41" t="n"/>
      <c r="D306" s="41" t="n"/>
      <c r="E306" s="70" t="n"/>
      <c r="F306" s="71" t="n"/>
      <c r="G306" s="72" t="n"/>
      <c r="H306" s="73" t="n"/>
      <c r="I306" s="74">
        <f>IF(OR(E306="",F306=""),"",E306*F306)</f>
        <v/>
      </c>
      <c r="J306" s="75">
        <f>IF(I306="","",IF(D306="Buy",I306+N(G306),IF(D306="Sell",I306-N(G306),IF(D306="Dividend",I306-N(G306),I306+N(G306)))))</f>
        <v/>
      </c>
      <c r="K306" s="76">
        <f>IF(B306="","",DATE(YEAR(B306),MONTH(B306),1))</f>
        <v/>
      </c>
      <c r="L306" s="77">
        <f>IF(B306="","",YEAR(B306))</f>
        <v/>
      </c>
    </row>
    <row r="307" ht="19" customHeight="1">
      <c r="A307" s="69">
        <f>IF(B307="","",ROW()-5)</f>
        <v/>
      </c>
      <c r="B307" s="43" t="n"/>
      <c r="C307" s="41" t="n"/>
      <c r="D307" s="41" t="n"/>
      <c r="E307" s="70" t="n"/>
      <c r="F307" s="71" t="n"/>
      <c r="G307" s="72" t="n"/>
      <c r="H307" s="73" t="n"/>
      <c r="I307" s="74">
        <f>IF(OR(E307="",F307=""),"",E307*F307)</f>
        <v/>
      </c>
      <c r="J307" s="75">
        <f>IF(I307="","",IF(D307="Buy",I307+N(G307),IF(D307="Sell",I307-N(G307),IF(D307="Dividend",I307-N(G307),I307+N(G307)))))</f>
        <v/>
      </c>
      <c r="K307" s="76">
        <f>IF(B307="","",DATE(YEAR(B307),MONTH(B307),1))</f>
        <v/>
      </c>
      <c r="L307" s="77">
        <f>IF(B307="","",YEAR(B307))</f>
        <v/>
      </c>
    </row>
    <row r="308" ht="19" customHeight="1">
      <c r="A308" s="69">
        <f>IF(B308="","",ROW()-5)</f>
        <v/>
      </c>
      <c r="B308" s="43" t="n"/>
      <c r="C308" s="41" t="n"/>
      <c r="D308" s="41" t="n"/>
      <c r="E308" s="70" t="n"/>
      <c r="F308" s="71" t="n"/>
      <c r="G308" s="72" t="n"/>
      <c r="H308" s="73" t="n"/>
      <c r="I308" s="74">
        <f>IF(OR(E308="",F308=""),"",E308*F308)</f>
        <v/>
      </c>
      <c r="J308" s="75">
        <f>IF(I308="","",IF(D308="Buy",I308+N(G308),IF(D308="Sell",I308-N(G308),IF(D308="Dividend",I308-N(G308),I308+N(G308)))))</f>
        <v/>
      </c>
      <c r="K308" s="76">
        <f>IF(B308="","",DATE(YEAR(B308),MONTH(B308),1))</f>
        <v/>
      </c>
      <c r="L308" s="77">
        <f>IF(B308="","",YEAR(B308))</f>
        <v/>
      </c>
    </row>
    <row r="309" ht="19" customHeight="1">
      <c r="A309" s="69">
        <f>IF(B309="","",ROW()-5)</f>
        <v/>
      </c>
      <c r="B309" s="43" t="n"/>
      <c r="C309" s="41" t="n"/>
      <c r="D309" s="41" t="n"/>
      <c r="E309" s="70" t="n"/>
      <c r="F309" s="71" t="n"/>
      <c r="G309" s="72" t="n"/>
      <c r="H309" s="73" t="n"/>
      <c r="I309" s="74">
        <f>IF(OR(E309="",F309=""),"",E309*F309)</f>
        <v/>
      </c>
      <c r="J309" s="75">
        <f>IF(I309="","",IF(D309="Buy",I309+N(G309),IF(D309="Sell",I309-N(G309),IF(D309="Dividend",I309-N(G309),I309+N(G309)))))</f>
        <v/>
      </c>
      <c r="K309" s="76">
        <f>IF(B309="","",DATE(YEAR(B309),MONTH(B309),1))</f>
        <v/>
      </c>
      <c r="L309" s="77">
        <f>IF(B309="","",YEAR(B309))</f>
        <v/>
      </c>
    </row>
    <row r="310" ht="19" customHeight="1">
      <c r="A310" s="69">
        <f>IF(B310="","",ROW()-5)</f>
        <v/>
      </c>
      <c r="B310" s="43" t="n"/>
      <c r="C310" s="41" t="n"/>
      <c r="D310" s="41" t="n"/>
      <c r="E310" s="70" t="n"/>
      <c r="F310" s="71" t="n"/>
      <c r="G310" s="72" t="n"/>
      <c r="H310" s="73" t="n"/>
      <c r="I310" s="74">
        <f>IF(OR(E310="",F310=""),"",E310*F310)</f>
        <v/>
      </c>
      <c r="J310" s="75">
        <f>IF(I310="","",IF(D310="Buy",I310+N(G310),IF(D310="Sell",I310-N(G310),IF(D310="Dividend",I310-N(G310),I310+N(G310)))))</f>
        <v/>
      </c>
      <c r="K310" s="76">
        <f>IF(B310="","",DATE(YEAR(B310),MONTH(B310),1))</f>
        <v/>
      </c>
      <c r="L310" s="77">
        <f>IF(B310="","",YEAR(B310))</f>
        <v/>
      </c>
    </row>
    <row r="311" ht="19" customHeight="1">
      <c r="A311" s="69">
        <f>IF(B311="","",ROW()-5)</f>
        <v/>
      </c>
      <c r="B311" s="43" t="n"/>
      <c r="C311" s="41" t="n"/>
      <c r="D311" s="41" t="n"/>
      <c r="E311" s="70" t="n"/>
      <c r="F311" s="71" t="n"/>
      <c r="G311" s="72" t="n"/>
      <c r="H311" s="73" t="n"/>
      <c r="I311" s="74">
        <f>IF(OR(E311="",F311=""),"",E311*F311)</f>
        <v/>
      </c>
      <c r="J311" s="75">
        <f>IF(I311="","",IF(D311="Buy",I311+N(G311),IF(D311="Sell",I311-N(G311),IF(D311="Dividend",I311-N(G311),I311+N(G311)))))</f>
        <v/>
      </c>
      <c r="K311" s="76">
        <f>IF(B311="","",DATE(YEAR(B311),MONTH(B311),1))</f>
        <v/>
      </c>
      <c r="L311" s="77">
        <f>IF(B311="","",YEAR(B311))</f>
        <v/>
      </c>
    </row>
    <row r="312" ht="19" customHeight="1">
      <c r="A312" s="69">
        <f>IF(B312="","",ROW()-5)</f>
        <v/>
      </c>
      <c r="B312" s="43" t="n"/>
      <c r="C312" s="41" t="n"/>
      <c r="D312" s="41" t="n"/>
      <c r="E312" s="70" t="n"/>
      <c r="F312" s="71" t="n"/>
      <c r="G312" s="72" t="n"/>
      <c r="H312" s="73" t="n"/>
      <c r="I312" s="74">
        <f>IF(OR(E312="",F312=""),"",E312*F312)</f>
        <v/>
      </c>
      <c r="J312" s="75">
        <f>IF(I312="","",IF(D312="Buy",I312+N(G312),IF(D312="Sell",I312-N(G312),IF(D312="Dividend",I312-N(G312),I312+N(G312)))))</f>
        <v/>
      </c>
      <c r="K312" s="76">
        <f>IF(B312="","",DATE(YEAR(B312),MONTH(B312),1))</f>
        <v/>
      </c>
      <c r="L312" s="77">
        <f>IF(B312="","",YEAR(B312))</f>
        <v/>
      </c>
    </row>
    <row r="313" ht="19" customHeight="1">
      <c r="A313" s="69">
        <f>IF(B313="","",ROW()-5)</f>
        <v/>
      </c>
      <c r="B313" s="43" t="n"/>
      <c r="C313" s="41" t="n"/>
      <c r="D313" s="41" t="n"/>
      <c r="E313" s="70" t="n"/>
      <c r="F313" s="71" t="n"/>
      <c r="G313" s="72" t="n"/>
      <c r="H313" s="73" t="n"/>
      <c r="I313" s="74">
        <f>IF(OR(E313="",F313=""),"",E313*F313)</f>
        <v/>
      </c>
      <c r="J313" s="75">
        <f>IF(I313="","",IF(D313="Buy",I313+N(G313),IF(D313="Sell",I313-N(G313),IF(D313="Dividend",I313-N(G313),I313+N(G313)))))</f>
        <v/>
      </c>
      <c r="K313" s="76">
        <f>IF(B313="","",DATE(YEAR(B313),MONTH(B313),1))</f>
        <v/>
      </c>
      <c r="L313" s="77">
        <f>IF(B313="","",YEAR(B313))</f>
        <v/>
      </c>
    </row>
    <row r="314" ht="19" customHeight="1">
      <c r="A314" s="69">
        <f>IF(B314="","",ROW()-5)</f>
        <v/>
      </c>
      <c r="B314" s="43" t="n"/>
      <c r="C314" s="41" t="n"/>
      <c r="D314" s="41" t="n"/>
      <c r="E314" s="70" t="n"/>
      <c r="F314" s="71" t="n"/>
      <c r="G314" s="72" t="n"/>
      <c r="H314" s="73" t="n"/>
      <c r="I314" s="74">
        <f>IF(OR(E314="",F314=""),"",E314*F314)</f>
        <v/>
      </c>
      <c r="J314" s="75">
        <f>IF(I314="","",IF(D314="Buy",I314+N(G314),IF(D314="Sell",I314-N(G314),IF(D314="Dividend",I314-N(G314),I314+N(G314)))))</f>
        <v/>
      </c>
      <c r="K314" s="76">
        <f>IF(B314="","",DATE(YEAR(B314),MONTH(B314),1))</f>
        <v/>
      </c>
      <c r="L314" s="77">
        <f>IF(B314="","",YEAR(B314))</f>
        <v/>
      </c>
    </row>
    <row r="315" ht="19" customHeight="1">
      <c r="A315" s="69">
        <f>IF(B315="","",ROW()-5)</f>
        <v/>
      </c>
      <c r="B315" s="43" t="n"/>
      <c r="C315" s="41" t="n"/>
      <c r="D315" s="41" t="n"/>
      <c r="E315" s="70" t="n"/>
      <c r="F315" s="71" t="n"/>
      <c r="G315" s="72" t="n"/>
      <c r="H315" s="73" t="n"/>
      <c r="I315" s="74">
        <f>IF(OR(E315="",F315=""),"",E315*F315)</f>
        <v/>
      </c>
      <c r="J315" s="75">
        <f>IF(I315="","",IF(D315="Buy",I315+N(G315),IF(D315="Sell",I315-N(G315),IF(D315="Dividend",I315-N(G315),I315+N(G315)))))</f>
        <v/>
      </c>
      <c r="K315" s="76">
        <f>IF(B315="","",DATE(YEAR(B315),MONTH(B315),1))</f>
        <v/>
      </c>
      <c r="L315" s="77">
        <f>IF(B315="","",YEAR(B315))</f>
        <v/>
      </c>
    </row>
    <row r="316" ht="19" customHeight="1">
      <c r="A316" s="69">
        <f>IF(B316="","",ROW()-5)</f>
        <v/>
      </c>
      <c r="B316" s="43" t="n"/>
      <c r="C316" s="41" t="n"/>
      <c r="D316" s="41" t="n"/>
      <c r="E316" s="70" t="n"/>
      <c r="F316" s="71" t="n"/>
      <c r="G316" s="72" t="n"/>
      <c r="H316" s="73" t="n"/>
      <c r="I316" s="74">
        <f>IF(OR(E316="",F316=""),"",E316*F316)</f>
        <v/>
      </c>
      <c r="J316" s="75">
        <f>IF(I316="","",IF(D316="Buy",I316+N(G316),IF(D316="Sell",I316-N(G316),IF(D316="Dividend",I316-N(G316),I316+N(G316)))))</f>
        <v/>
      </c>
      <c r="K316" s="76">
        <f>IF(B316="","",DATE(YEAR(B316),MONTH(B316),1))</f>
        <v/>
      </c>
      <c r="L316" s="77">
        <f>IF(B316="","",YEAR(B316))</f>
        <v/>
      </c>
    </row>
    <row r="317" ht="19" customHeight="1">
      <c r="A317" s="69">
        <f>IF(B317="","",ROW()-5)</f>
        <v/>
      </c>
      <c r="B317" s="43" t="n"/>
      <c r="C317" s="41" t="n"/>
      <c r="D317" s="41" t="n"/>
      <c r="E317" s="70" t="n"/>
      <c r="F317" s="71" t="n"/>
      <c r="G317" s="72" t="n"/>
      <c r="H317" s="73" t="n"/>
      <c r="I317" s="74">
        <f>IF(OR(E317="",F317=""),"",E317*F317)</f>
        <v/>
      </c>
      <c r="J317" s="75">
        <f>IF(I317="","",IF(D317="Buy",I317+N(G317),IF(D317="Sell",I317-N(G317),IF(D317="Dividend",I317-N(G317),I317+N(G317)))))</f>
        <v/>
      </c>
      <c r="K317" s="76">
        <f>IF(B317="","",DATE(YEAR(B317),MONTH(B317),1))</f>
        <v/>
      </c>
      <c r="L317" s="77">
        <f>IF(B317="","",YEAR(B317))</f>
        <v/>
      </c>
    </row>
    <row r="318" ht="19" customHeight="1">
      <c r="A318" s="69">
        <f>IF(B318="","",ROW()-5)</f>
        <v/>
      </c>
      <c r="B318" s="43" t="n"/>
      <c r="C318" s="41" t="n"/>
      <c r="D318" s="41" t="n"/>
      <c r="E318" s="70" t="n"/>
      <c r="F318" s="71" t="n"/>
      <c r="G318" s="72" t="n"/>
      <c r="H318" s="73" t="n"/>
      <c r="I318" s="74">
        <f>IF(OR(E318="",F318=""),"",E318*F318)</f>
        <v/>
      </c>
      <c r="J318" s="75">
        <f>IF(I318="","",IF(D318="Buy",I318+N(G318),IF(D318="Sell",I318-N(G318),IF(D318="Dividend",I318-N(G318),I318+N(G318)))))</f>
        <v/>
      </c>
      <c r="K318" s="76">
        <f>IF(B318="","",DATE(YEAR(B318),MONTH(B318),1))</f>
        <v/>
      </c>
      <c r="L318" s="77">
        <f>IF(B318="","",YEAR(B318))</f>
        <v/>
      </c>
    </row>
    <row r="319" ht="19" customHeight="1">
      <c r="A319" s="69">
        <f>IF(B319="","",ROW()-5)</f>
        <v/>
      </c>
      <c r="B319" s="43" t="n"/>
      <c r="C319" s="41" t="n"/>
      <c r="D319" s="41" t="n"/>
      <c r="E319" s="70" t="n"/>
      <c r="F319" s="71" t="n"/>
      <c r="G319" s="72" t="n"/>
      <c r="H319" s="73" t="n"/>
      <c r="I319" s="74">
        <f>IF(OR(E319="",F319=""),"",E319*F319)</f>
        <v/>
      </c>
      <c r="J319" s="75">
        <f>IF(I319="","",IF(D319="Buy",I319+N(G319),IF(D319="Sell",I319-N(G319),IF(D319="Dividend",I319-N(G319),I319+N(G319)))))</f>
        <v/>
      </c>
      <c r="K319" s="76">
        <f>IF(B319="","",DATE(YEAR(B319),MONTH(B319),1))</f>
        <v/>
      </c>
      <c r="L319" s="77">
        <f>IF(B319="","",YEAR(B319))</f>
        <v/>
      </c>
    </row>
    <row r="320" ht="19" customHeight="1">
      <c r="A320" s="69">
        <f>IF(B320="","",ROW()-5)</f>
        <v/>
      </c>
      <c r="B320" s="43" t="n"/>
      <c r="C320" s="41" t="n"/>
      <c r="D320" s="41" t="n"/>
      <c r="E320" s="70" t="n"/>
      <c r="F320" s="71" t="n"/>
      <c r="G320" s="72" t="n"/>
      <c r="H320" s="73" t="n"/>
      <c r="I320" s="74">
        <f>IF(OR(E320="",F320=""),"",E320*F320)</f>
        <v/>
      </c>
      <c r="J320" s="75">
        <f>IF(I320="","",IF(D320="Buy",I320+N(G320),IF(D320="Sell",I320-N(G320),IF(D320="Dividend",I320-N(G320),I320+N(G320)))))</f>
        <v/>
      </c>
      <c r="K320" s="76">
        <f>IF(B320="","",DATE(YEAR(B320),MONTH(B320),1))</f>
        <v/>
      </c>
      <c r="L320" s="77">
        <f>IF(B320="","",YEAR(B320))</f>
        <v/>
      </c>
    </row>
    <row r="321" ht="19" customHeight="1">
      <c r="A321" s="69">
        <f>IF(B321="","",ROW()-5)</f>
        <v/>
      </c>
      <c r="B321" s="43" t="n"/>
      <c r="C321" s="41" t="n"/>
      <c r="D321" s="41" t="n"/>
      <c r="E321" s="70" t="n"/>
      <c r="F321" s="71" t="n"/>
      <c r="G321" s="72" t="n"/>
      <c r="H321" s="73" t="n"/>
      <c r="I321" s="74">
        <f>IF(OR(E321="",F321=""),"",E321*F321)</f>
        <v/>
      </c>
      <c r="J321" s="75">
        <f>IF(I321="","",IF(D321="Buy",I321+N(G321),IF(D321="Sell",I321-N(G321),IF(D321="Dividend",I321-N(G321),I321+N(G321)))))</f>
        <v/>
      </c>
      <c r="K321" s="76">
        <f>IF(B321="","",DATE(YEAR(B321),MONTH(B321),1))</f>
        <v/>
      </c>
      <c r="L321" s="77">
        <f>IF(B321="","",YEAR(B321))</f>
        <v/>
      </c>
    </row>
    <row r="322" ht="19" customHeight="1">
      <c r="A322" s="69">
        <f>IF(B322="","",ROW()-5)</f>
        <v/>
      </c>
      <c r="B322" s="43" t="n"/>
      <c r="C322" s="41" t="n"/>
      <c r="D322" s="41" t="n"/>
      <c r="E322" s="70" t="n"/>
      <c r="F322" s="71" t="n"/>
      <c r="G322" s="72" t="n"/>
      <c r="H322" s="73" t="n"/>
      <c r="I322" s="74">
        <f>IF(OR(E322="",F322=""),"",E322*F322)</f>
        <v/>
      </c>
      <c r="J322" s="75">
        <f>IF(I322="","",IF(D322="Buy",I322+N(G322),IF(D322="Sell",I322-N(G322),IF(D322="Dividend",I322-N(G322),I322+N(G322)))))</f>
        <v/>
      </c>
      <c r="K322" s="76">
        <f>IF(B322="","",DATE(YEAR(B322),MONTH(B322),1))</f>
        <v/>
      </c>
      <c r="L322" s="77">
        <f>IF(B322="","",YEAR(B322))</f>
        <v/>
      </c>
    </row>
    <row r="323" ht="19" customHeight="1">
      <c r="A323" s="69">
        <f>IF(B323="","",ROW()-5)</f>
        <v/>
      </c>
      <c r="B323" s="43" t="n"/>
      <c r="C323" s="41" t="n"/>
      <c r="D323" s="41" t="n"/>
      <c r="E323" s="70" t="n"/>
      <c r="F323" s="71" t="n"/>
      <c r="G323" s="72" t="n"/>
      <c r="H323" s="73" t="n"/>
      <c r="I323" s="74">
        <f>IF(OR(E323="",F323=""),"",E323*F323)</f>
        <v/>
      </c>
      <c r="J323" s="75">
        <f>IF(I323="","",IF(D323="Buy",I323+N(G323),IF(D323="Sell",I323-N(G323),IF(D323="Dividend",I323-N(G323),I323+N(G323)))))</f>
        <v/>
      </c>
      <c r="K323" s="76">
        <f>IF(B323="","",DATE(YEAR(B323),MONTH(B323),1))</f>
        <v/>
      </c>
      <c r="L323" s="77">
        <f>IF(B323="","",YEAR(B323))</f>
        <v/>
      </c>
    </row>
    <row r="324" ht="19" customHeight="1">
      <c r="A324" s="69">
        <f>IF(B324="","",ROW()-5)</f>
        <v/>
      </c>
      <c r="B324" s="43" t="n"/>
      <c r="C324" s="41" t="n"/>
      <c r="D324" s="41" t="n"/>
      <c r="E324" s="70" t="n"/>
      <c r="F324" s="71" t="n"/>
      <c r="G324" s="72" t="n"/>
      <c r="H324" s="73" t="n"/>
      <c r="I324" s="74">
        <f>IF(OR(E324="",F324=""),"",E324*F324)</f>
        <v/>
      </c>
      <c r="J324" s="75">
        <f>IF(I324="","",IF(D324="Buy",I324+N(G324),IF(D324="Sell",I324-N(G324),IF(D324="Dividend",I324-N(G324),I324+N(G324)))))</f>
        <v/>
      </c>
      <c r="K324" s="76">
        <f>IF(B324="","",DATE(YEAR(B324),MONTH(B324),1))</f>
        <v/>
      </c>
      <c r="L324" s="77">
        <f>IF(B324="","",YEAR(B324))</f>
        <v/>
      </c>
    </row>
    <row r="325" ht="19" customHeight="1">
      <c r="A325" s="69">
        <f>IF(B325="","",ROW()-5)</f>
        <v/>
      </c>
      <c r="B325" s="43" t="n"/>
      <c r="C325" s="41" t="n"/>
      <c r="D325" s="41" t="n"/>
      <c r="E325" s="70" t="n"/>
      <c r="F325" s="71" t="n"/>
      <c r="G325" s="72" t="n"/>
      <c r="H325" s="73" t="n"/>
      <c r="I325" s="74">
        <f>IF(OR(E325="",F325=""),"",E325*F325)</f>
        <v/>
      </c>
      <c r="J325" s="75">
        <f>IF(I325="","",IF(D325="Buy",I325+N(G325),IF(D325="Sell",I325-N(G325),IF(D325="Dividend",I325-N(G325),I325+N(G325)))))</f>
        <v/>
      </c>
      <c r="K325" s="76">
        <f>IF(B325="","",DATE(YEAR(B325),MONTH(B325),1))</f>
        <v/>
      </c>
      <c r="L325" s="77">
        <f>IF(B325="","",YEAR(B325))</f>
        <v/>
      </c>
    </row>
    <row r="326" ht="19" customHeight="1">
      <c r="A326" s="69">
        <f>IF(B326="","",ROW()-5)</f>
        <v/>
      </c>
      <c r="B326" s="43" t="n"/>
      <c r="C326" s="41" t="n"/>
      <c r="D326" s="41" t="n"/>
      <c r="E326" s="70" t="n"/>
      <c r="F326" s="71" t="n"/>
      <c r="G326" s="72" t="n"/>
      <c r="H326" s="73" t="n"/>
      <c r="I326" s="74">
        <f>IF(OR(E326="",F326=""),"",E326*F326)</f>
        <v/>
      </c>
      <c r="J326" s="75">
        <f>IF(I326="","",IF(D326="Buy",I326+N(G326),IF(D326="Sell",I326-N(G326),IF(D326="Dividend",I326-N(G326),I326+N(G326)))))</f>
        <v/>
      </c>
      <c r="K326" s="76">
        <f>IF(B326="","",DATE(YEAR(B326),MONTH(B326),1))</f>
        <v/>
      </c>
      <c r="L326" s="77">
        <f>IF(B326="","",YEAR(B326))</f>
        <v/>
      </c>
    </row>
    <row r="327" ht="19" customHeight="1">
      <c r="A327" s="69">
        <f>IF(B327="","",ROW()-5)</f>
        <v/>
      </c>
      <c r="B327" s="43" t="n"/>
      <c r="C327" s="41" t="n"/>
      <c r="D327" s="41" t="n"/>
      <c r="E327" s="70" t="n"/>
      <c r="F327" s="71" t="n"/>
      <c r="G327" s="72" t="n"/>
      <c r="H327" s="73" t="n"/>
      <c r="I327" s="74">
        <f>IF(OR(E327="",F327=""),"",E327*F327)</f>
        <v/>
      </c>
      <c r="J327" s="75">
        <f>IF(I327="","",IF(D327="Buy",I327+N(G327),IF(D327="Sell",I327-N(G327),IF(D327="Dividend",I327-N(G327),I327+N(G327)))))</f>
        <v/>
      </c>
      <c r="K327" s="76">
        <f>IF(B327="","",DATE(YEAR(B327),MONTH(B327),1))</f>
        <v/>
      </c>
      <c r="L327" s="77">
        <f>IF(B327="","",YEAR(B327))</f>
        <v/>
      </c>
    </row>
    <row r="328" ht="19" customHeight="1">
      <c r="A328" s="69">
        <f>IF(B328="","",ROW()-5)</f>
        <v/>
      </c>
      <c r="B328" s="43" t="n"/>
      <c r="C328" s="41" t="n"/>
      <c r="D328" s="41" t="n"/>
      <c r="E328" s="70" t="n"/>
      <c r="F328" s="71" t="n"/>
      <c r="G328" s="72" t="n"/>
      <c r="H328" s="73" t="n"/>
      <c r="I328" s="74">
        <f>IF(OR(E328="",F328=""),"",E328*F328)</f>
        <v/>
      </c>
      <c r="J328" s="75">
        <f>IF(I328="","",IF(D328="Buy",I328+N(G328),IF(D328="Sell",I328-N(G328),IF(D328="Dividend",I328-N(G328),I328+N(G328)))))</f>
        <v/>
      </c>
      <c r="K328" s="76">
        <f>IF(B328="","",DATE(YEAR(B328),MONTH(B328),1))</f>
        <v/>
      </c>
      <c r="L328" s="77">
        <f>IF(B328="","",YEAR(B328))</f>
        <v/>
      </c>
    </row>
    <row r="329" ht="19" customHeight="1">
      <c r="A329" s="69">
        <f>IF(B329="","",ROW()-5)</f>
        <v/>
      </c>
      <c r="B329" s="43" t="n"/>
      <c r="C329" s="41" t="n"/>
      <c r="D329" s="41" t="n"/>
      <c r="E329" s="70" t="n"/>
      <c r="F329" s="71" t="n"/>
      <c r="G329" s="72" t="n"/>
      <c r="H329" s="73" t="n"/>
      <c r="I329" s="74">
        <f>IF(OR(E329="",F329=""),"",E329*F329)</f>
        <v/>
      </c>
      <c r="J329" s="75">
        <f>IF(I329="","",IF(D329="Buy",I329+N(G329),IF(D329="Sell",I329-N(G329),IF(D329="Dividend",I329-N(G329),I329+N(G329)))))</f>
        <v/>
      </c>
      <c r="K329" s="76">
        <f>IF(B329="","",DATE(YEAR(B329),MONTH(B329),1))</f>
        <v/>
      </c>
      <c r="L329" s="77">
        <f>IF(B329="","",YEAR(B329))</f>
        <v/>
      </c>
    </row>
    <row r="330" ht="19" customHeight="1">
      <c r="A330" s="69">
        <f>IF(B330="","",ROW()-5)</f>
        <v/>
      </c>
      <c r="B330" s="43" t="n"/>
      <c r="C330" s="41" t="n"/>
      <c r="D330" s="41" t="n"/>
      <c r="E330" s="70" t="n"/>
      <c r="F330" s="71" t="n"/>
      <c r="G330" s="72" t="n"/>
      <c r="H330" s="73" t="n"/>
      <c r="I330" s="74">
        <f>IF(OR(E330="",F330=""),"",E330*F330)</f>
        <v/>
      </c>
      <c r="J330" s="75">
        <f>IF(I330="","",IF(D330="Buy",I330+N(G330),IF(D330="Sell",I330-N(G330),IF(D330="Dividend",I330-N(G330),I330+N(G330)))))</f>
        <v/>
      </c>
      <c r="K330" s="76">
        <f>IF(B330="","",DATE(YEAR(B330),MONTH(B330),1))</f>
        <v/>
      </c>
      <c r="L330" s="77">
        <f>IF(B330="","",YEAR(B330))</f>
        <v/>
      </c>
    </row>
    <row r="331" ht="19" customHeight="1">
      <c r="A331" s="69">
        <f>IF(B331="","",ROW()-5)</f>
        <v/>
      </c>
      <c r="B331" s="43" t="n"/>
      <c r="C331" s="41" t="n"/>
      <c r="D331" s="41" t="n"/>
      <c r="E331" s="70" t="n"/>
      <c r="F331" s="71" t="n"/>
      <c r="G331" s="72" t="n"/>
      <c r="H331" s="73" t="n"/>
      <c r="I331" s="74">
        <f>IF(OR(E331="",F331=""),"",E331*F331)</f>
        <v/>
      </c>
      <c r="J331" s="75">
        <f>IF(I331="","",IF(D331="Buy",I331+N(G331),IF(D331="Sell",I331-N(G331),IF(D331="Dividend",I331-N(G331),I331+N(G331)))))</f>
        <v/>
      </c>
      <c r="K331" s="76">
        <f>IF(B331="","",DATE(YEAR(B331),MONTH(B331),1))</f>
        <v/>
      </c>
      <c r="L331" s="77">
        <f>IF(B331="","",YEAR(B331))</f>
        <v/>
      </c>
    </row>
    <row r="332" ht="19" customHeight="1">
      <c r="A332" s="69">
        <f>IF(B332="","",ROW()-5)</f>
        <v/>
      </c>
      <c r="B332" s="43" t="n"/>
      <c r="C332" s="41" t="n"/>
      <c r="D332" s="41" t="n"/>
      <c r="E332" s="70" t="n"/>
      <c r="F332" s="71" t="n"/>
      <c r="G332" s="72" t="n"/>
      <c r="H332" s="73" t="n"/>
      <c r="I332" s="74">
        <f>IF(OR(E332="",F332=""),"",E332*F332)</f>
        <v/>
      </c>
      <c r="J332" s="75">
        <f>IF(I332="","",IF(D332="Buy",I332+N(G332),IF(D332="Sell",I332-N(G332),IF(D332="Dividend",I332-N(G332),I332+N(G332)))))</f>
        <v/>
      </c>
      <c r="K332" s="76">
        <f>IF(B332="","",DATE(YEAR(B332),MONTH(B332),1))</f>
        <v/>
      </c>
      <c r="L332" s="77">
        <f>IF(B332="","",YEAR(B332))</f>
        <v/>
      </c>
    </row>
    <row r="333" ht="19" customHeight="1">
      <c r="A333" s="69">
        <f>IF(B333="","",ROW()-5)</f>
        <v/>
      </c>
      <c r="B333" s="43" t="n"/>
      <c r="C333" s="41" t="n"/>
      <c r="D333" s="41" t="n"/>
      <c r="E333" s="70" t="n"/>
      <c r="F333" s="71" t="n"/>
      <c r="G333" s="72" t="n"/>
      <c r="H333" s="73" t="n"/>
      <c r="I333" s="74">
        <f>IF(OR(E333="",F333=""),"",E333*F333)</f>
        <v/>
      </c>
      <c r="J333" s="75">
        <f>IF(I333="","",IF(D333="Buy",I333+N(G333),IF(D333="Sell",I333-N(G333),IF(D333="Dividend",I333-N(G333),I333+N(G333)))))</f>
        <v/>
      </c>
      <c r="K333" s="76">
        <f>IF(B333="","",DATE(YEAR(B333),MONTH(B333),1))</f>
        <v/>
      </c>
      <c r="L333" s="77">
        <f>IF(B333="","",YEAR(B333))</f>
        <v/>
      </c>
    </row>
    <row r="334" ht="19" customHeight="1">
      <c r="A334" s="69">
        <f>IF(B334="","",ROW()-5)</f>
        <v/>
      </c>
      <c r="B334" s="43" t="n"/>
      <c r="C334" s="41" t="n"/>
      <c r="D334" s="41" t="n"/>
      <c r="E334" s="70" t="n"/>
      <c r="F334" s="71" t="n"/>
      <c r="G334" s="72" t="n"/>
      <c r="H334" s="73" t="n"/>
      <c r="I334" s="74">
        <f>IF(OR(E334="",F334=""),"",E334*F334)</f>
        <v/>
      </c>
      <c r="J334" s="75">
        <f>IF(I334="","",IF(D334="Buy",I334+N(G334),IF(D334="Sell",I334-N(G334),IF(D334="Dividend",I334-N(G334),I334+N(G334)))))</f>
        <v/>
      </c>
      <c r="K334" s="76">
        <f>IF(B334="","",DATE(YEAR(B334),MONTH(B334),1))</f>
        <v/>
      </c>
      <c r="L334" s="77">
        <f>IF(B334="","",YEAR(B334))</f>
        <v/>
      </c>
    </row>
    <row r="335" ht="19" customHeight="1">
      <c r="A335" s="69">
        <f>IF(B335="","",ROW()-5)</f>
        <v/>
      </c>
      <c r="B335" s="43" t="n"/>
      <c r="C335" s="41" t="n"/>
      <c r="D335" s="41" t="n"/>
      <c r="E335" s="70" t="n"/>
      <c r="F335" s="71" t="n"/>
      <c r="G335" s="72" t="n"/>
      <c r="H335" s="73" t="n"/>
      <c r="I335" s="74">
        <f>IF(OR(E335="",F335=""),"",E335*F335)</f>
        <v/>
      </c>
      <c r="J335" s="75">
        <f>IF(I335="","",IF(D335="Buy",I335+N(G335),IF(D335="Sell",I335-N(G335),IF(D335="Dividend",I335-N(G335),I335+N(G335)))))</f>
        <v/>
      </c>
      <c r="K335" s="76">
        <f>IF(B335="","",DATE(YEAR(B335),MONTH(B335),1))</f>
        <v/>
      </c>
      <c r="L335" s="77">
        <f>IF(B335="","",YEAR(B335))</f>
        <v/>
      </c>
    </row>
    <row r="336" ht="19" customHeight="1">
      <c r="A336" s="69">
        <f>IF(B336="","",ROW()-5)</f>
        <v/>
      </c>
      <c r="B336" s="43" t="n"/>
      <c r="C336" s="41" t="n"/>
      <c r="D336" s="41" t="n"/>
      <c r="E336" s="70" t="n"/>
      <c r="F336" s="71" t="n"/>
      <c r="G336" s="72" t="n"/>
      <c r="H336" s="73" t="n"/>
      <c r="I336" s="74">
        <f>IF(OR(E336="",F336=""),"",E336*F336)</f>
        <v/>
      </c>
      <c r="J336" s="75">
        <f>IF(I336="","",IF(D336="Buy",I336+N(G336),IF(D336="Sell",I336-N(G336),IF(D336="Dividend",I336-N(G336),I336+N(G336)))))</f>
        <v/>
      </c>
      <c r="K336" s="76">
        <f>IF(B336="","",DATE(YEAR(B336),MONTH(B336),1))</f>
        <v/>
      </c>
      <c r="L336" s="77">
        <f>IF(B336="","",YEAR(B336))</f>
        <v/>
      </c>
    </row>
    <row r="337" ht="19" customHeight="1">
      <c r="A337" s="69">
        <f>IF(B337="","",ROW()-5)</f>
        <v/>
      </c>
      <c r="B337" s="43" t="n"/>
      <c r="C337" s="41" t="n"/>
      <c r="D337" s="41" t="n"/>
      <c r="E337" s="70" t="n"/>
      <c r="F337" s="71" t="n"/>
      <c r="G337" s="72" t="n"/>
      <c r="H337" s="73" t="n"/>
      <c r="I337" s="74">
        <f>IF(OR(E337="",F337=""),"",E337*F337)</f>
        <v/>
      </c>
      <c r="J337" s="75">
        <f>IF(I337="","",IF(D337="Buy",I337+N(G337),IF(D337="Sell",I337-N(G337),IF(D337="Dividend",I337-N(G337),I337+N(G337)))))</f>
        <v/>
      </c>
      <c r="K337" s="76">
        <f>IF(B337="","",DATE(YEAR(B337),MONTH(B337),1))</f>
        <v/>
      </c>
      <c r="L337" s="77">
        <f>IF(B337="","",YEAR(B337))</f>
        <v/>
      </c>
    </row>
    <row r="338" ht="19" customHeight="1">
      <c r="A338" s="69">
        <f>IF(B338="","",ROW()-5)</f>
        <v/>
      </c>
      <c r="B338" s="43" t="n"/>
      <c r="C338" s="41" t="n"/>
      <c r="D338" s="41" t="n"/>
      <c r="E338" s="70" t="n"/>
      <c r="F338" s="71" t="n"/>
      <c r="G338" s="72" t="n"/>
      <c r="H338" s="73" t="n"/>
      <c r="I338" s="74">
        <f>IF(OR(E338="",F338=""),"",E338*F338)</f>
        <v/>
      </c>
      <c r="J338" s="75">
        <f>IF(I338="","",IF(D338="Buy",I338+N(G338),IF(D338="Sell",I338-N(G338),IF(D338="Dividend",I338-N(G338),I338+N(G338)))))</f>
        <v/>
      </c>
      <c r="K338" s="76">
        <f>IF(B338="","",DATE(YEAR(B338),MONTH(B338),1))</f>
        <v/>
      </c>
      <c r="L338" s="77">
        <f>IF(B338="","",YEAR(B338))</f>
        <v/>
      </c>
    </row>
    <row r="339" ht="19" customHeight="1">
      <c r="A339" s="69">
        <f>IF(B339="","",ROW()-5)</f>
        <v/>
      </c>
      <c r="B339" s="43" t="n"/>
      <c r="C339" s="41" t="n"/>
      <c r="D339" s="41" t="n"/>
      <c r="E339" s="70" t="n"/>
      <c r="F339" s="71" t="n"/>
      <c r="G339" s="72" t="n"/>
      <c r="H339" s="73" t="n"/>
      <c r="I339" s="74">
        <f>IF(OR(E339="",F339=""),"",E339*F339)</f>
        <v/>
      </c>
      <c r="J339" s="75">
        <f>IF(I339="","",IF(D339="Buy",I339+N(G339),IF(D339="Sell",I339-N(G339),IF(D339="Dividend",I339-N(G339),I339+N(G339)))))</f>
        <v/>
      </c>
      <c r="K339" s="76">
        <f>IF(B339="","",DATE(YEAR(B339),MONTH(B339),1))</f>
        <v/>
      </c>
      <c r="L339" s="77">
        <f>IF(B339="","",YEAR(B339))</f>
        <v/>
      </c>
    </row>
    <row r="340" ht="19" customHeight="1">
      <c r="A340" s="69">
        <f>IF(B340="","",ROW()-5)</f>
        <v/>
      </c>
      <c r="B340" s="43" t="n"/>
      <c r="C340" s="41" t="n"/>
      <c r="D340" s="41" t="n"/>
      <c r="E340" s="70" t="n"/>
      <c r="F340" s="71" t="n"/>
      <c r="G340" s="72" t="n"/>
      <c r="H340" s="73" t="n"/>
      <c r="I340" s="74">
        <f>IF(OR(E340="",F340=""),"",E340*F340)</f>
        <v/>
      </c>
      <c r="J340" s="75">
        <f>IF(I340="","",IF(D340="Buy",I340+N(G340),IF(D340="Sell",I340-N(G340),IF(D340="Dividend",I340-N(G340),I340+N(G340)))))</f>
        <v/>
      </c>
      <c r="K340" s="76">
        <f>IF(B340="","",DATE(YEAR(B340),MONTH(B340),1))</f>
        <v/>
      </c>
      <c r="L340" s="77">
        <f>IF(B340="","",YEAR(B340))</f>
        <v/>
      </c>
    </row>
    <row r="341" ht="19" customHeight="1">
      <c r="A341" s="69">
        <f>IF(B341="","",ROW()-5)</f>
        <v/>
      </c>
      <c r="B341" s="43" t="n"/>
      <c r="C341" s="41" t="n"/>
      <c r="D341" s="41" t="n"/>
      <c r="E341" s="70" t="n"/>
      <c r="F341" s="71" t="n"/>
      <c r="G341" s="72" t="n"/>
      <c r="H341" s="73" t="n"/>
      <c r="I341" s="74">
        <f>IF(OR(E341="",F341=""),"",E341*F341)</f>
        <v/>
      </c>
      <c r="J341" s="75">
        <f>IF(I341="","",IF(D341="Buy",I341+N(G341),IF(D341="Sell",I341-N(G341),IF(D341="Dividend",I341-N(G341),I341+N(G341)))))</f>
        <v/>
      </c>
      <c r="K341" s="76">
        <f>IF(B341="","",DATE(YEAR(B341),MONTH(B341),1))</f>
        <v/>
      </c>
      <c r="L341" s="77">
        <f>IF(B341="","",YEAR(B341))</f>
        <v/>
      </c>
    </row>
    <row r="342" ht="19" customHeight="1">
      <c r="A342" s="69">
        <f>IF(B342="","",ROW()-5)</f>
        <v/>
      </c>
      <c r="B342" s="43" t="n"/>
      <c r="C342" s="41" t="n"/>
      <c r="D342" s="41" t="n"/>
      <c r="E342" s="70" t="n"/>
      <c r="F342" s="71" t="n"/>
      <c r="G342" s="72" t="n"/>
      <c r="H342" s="73" t="n"/>
      <c r="I342" s="74">
        <f>IF(OR(E342="",F342=""),"",E342*F342)</f>
        <v/>
      </c>
      <c r="J342" s="75">
        <f>IF(I342="","",IF(D342="Buy",I342+N(G342),IF(D342="Sell",I342-N(G342),IF(D342="Dividend",I342-N(G342),I342+N(G342)))))</f>
        <v/>
      </c>
      <c r="K342" s="76">
        <f>IF(B342="","",DATE(YEAR(B342),MONTH(B342),1))</f>
        <v/>
      </c>
      <c r="L342" s="77">
        <f>IF(B342="","",YEAR(B342))</f>
        <v/>
      </c>
    </row>
    <row r="343" ht="19" customHeight="1">
      <c r="A343" s="69">
        <f>IF(B343="","",ROW()-5)</f>
        <v/>
      </c>
      <c r="B343" s="43" t="n"/>
      <c r="C343" s="41" t="n"/>
      <c r="D343" s="41" t="n"/>
      <c r="E343" s="70" t="n"/>
      <c r="F343" s="71" t="n"/>
      <c r="G343" s="72" t="n"/>
      <c r="H343" s="73" t="n"/>
      <c r="I343" s="74">
        <f>IF(OR(E343="",F343=""),"",E343*F343)</f>
        <v/>
      </c>
      <c r="J343" s="75">
        <f>IF(I343="","",IF(D343="Buy",I343+N(G343),IF(D343="Sell",I343-N(G343),IF(D343="Dividend",I343-N(G343),I343+N(G343)))))</f>
        <v/>
      </c>
      <c r="K343" s="76">
        <f>IF(B343="","",DATE(YEAR(B343),MONTH(B343),1))</f>
        <v/>
      </c>
      <c r="L343" s="77">
        <f>IF(B343="","",YEAR(B343))</f>
        <v/>
      </c>
    </row>
    <row r="344" ht="19" customHeight="1">
      <c r="A344" s="69">
        <f>IF(B344="","",ROW()-5)</f>
        <v/>
      </c>
      <c r="B344" s="43" t="n"/>
      <c r="C344" s="41" t="n"/>
      <c r="D344" s="41" t="n"/>
      <c r="E344" s="70" t="n"/>
      <c r="F344" s="71" t="n"/>
      <c r="G344" s="72" t="n"/>
      <c r="H344" s="73" t="n"/>
      <c r="I344" s="74">
        <f>IF(OR(E344="",F344=""),"",E344*F344)</f>
        <v/>
      </c>
      <c r="J344" s="75">
        <f>IF(I344="","",IF(D344="Buy",I344+N(G344),IF(D344="Sell",I344-N(G344),IF(D344="Dividend",I344-N(G344),I344+N(G344)))))</f>
        <v/>
      </c>
      <c r="K344" s="76">
        <f>IF(B344="","",DATE(YEAR(B344),MONTH(B344),1))</f>
        <v/>
      </c>
      <c r="L344" s="77">
        <f>IF(B344="","",YEAR(B344))</f>
        <v/>
      </c>
    </row>
    <row r="345" ht="19" customHeight="1">
      <c r="A345" s="69">
        <f>IF(B345="","",ROW()-5)</f>
        <v/>
      </c>
      <c r="B345" s="43" t="n"/>
      <c r="C345" s="41" t="n"/>
      <c r="D345" s="41" t="n"/>
      <c r="E345" s="70" t="n"/>
      <c r="F345" s="71" t="n"/>
      <c r="G345" s="72" t="n"/>
      <c r="H345" s="73" t="n"/>
      <c r="I345" s="74">
        <f>IF(OR(E345="",F345=""),"",E345*F345)</f>
        <v/>
      </c>
      <c r="J345" s="75">
        <f>IF(I345="","",IF(D345="Buy",I345+N(G345),IF(D345="Sell",I345-N(G345),IF(D345="Dividend",I345-N(G345),I345+N(G345)))))</f>
        <v/>
      </c>
      <c r="K345" s="76">
        <f>IF(B345="","",DATE(YEAR(B345),MONTH(B345),1))</f>
        <v/>
      </c>
      <c r="L345" s="77">
        <f>IF(B345="","",YEAR(B345))</f>
        <v/>
      </c>
    </row>
    <row r="346" ht="19" customHeight="1">
      <c r="A346" s="69">
        <f>IF(B346="","",ROW()-5)</f>
        <v/>
      </c>
      <c r="B346" s="43" t="n"/>
      <c r="C346" s="41" t="n"/>
      <c r="D346" s="41" t="n"/>
      <c r="E346" s="70" t="n"/>
      <c r="F346" s="71" t="n"/>
      <c r="G346" s="72" t="n"/>
      <c r="H346" s="73" t="n"/>
      <c r="I346" s="74">
        <f>IF(OR(E346="",F346=""),"",E346*F346)</f>
        <v/>
      </c>
      <c r="J346" s="75">
        <f>IF(I346="","",IF(D346="Buy",I346+N(G346),IF(D346="Sell",I346-N(G346),IF(D346="Dividend",I346-N(G346),I346+N(G346)))))</f>
        <v/>
      </c>
      <c r="K346" s="76">
        <f>IF(B346="","",DATE(YEAR(B346),MONTH(B346),1))</f>
        <v/>
      </c>
      <c r="L346" s="77">
        <f>IF(B346="","",YEAR(B346))</f>
        <v/>
      </c>
    </row>
    <row r="347" ht="19" customHeight="1">
      <c r="A347" s="69">
        <f>IF(B347="","",ROW()-5)</f>
        <v/>
      </c>
      <c r="B347" s="43" t="n"/>
      <c r="C347" s="41" t="n"/>
      <c r="D347" s="41" t="n"/>
      <c r="E347" s="70" t="n"/>
      <c r="F347" s="71" t="n"/>
      <c r="G347" s="72" t="n"/>
      <c r="H347" s="73" t="n"/>
      <c r="I347" s="74">
        <f>IF(OR(E347="",F347=""),"",E347*F347)</f>
        <v/>
      </c>
      <c r="J347" s="75">
        <f>IF(I347="","",IF(D347="Buy",I347+N(G347),IF(D347="Sell",I347-N(G347),IF(D347="Dividend",I347-N(G347),I347+N(G347)))))</f>
        <v/>
      </c>
      <c r="K347" s="76">
        <f>IF(B347="","",DATE(YEAR(B347),MONTH(B347),1))</f>
        <v/>
      </c>
      <c r="L347" s="77">
        <f>IF(B347="","",YEAR(B347))</f>
        <v/>
      </c>
    </row>
    <row r="348" ht="19" customHeight="1">
      <c r="A348" s="69">
        <f>IF(B348="","",ROW()-5)</f>
        <v/>
      </c>
      <c r="B348" s="43" t="n"/>
      <c r="C348" s="41" t="n"/>
      <c r="D348" s="41" t="n"/>
      <c r="E348" s="70" t="n"/>
      <c r="F348" s="71" t="n"/>
      <c r="G348" s="72" t="n"/>
      <c r="H348" s="73" t="n"/>
      <c r="I348" s="74">
        <f>IF(OR(E348="",F348=""),"",E348*F348)</f>
        <v/>
      </c>
      <c r="J348" s="75">
        <f>IF(I348="","",IF(D348="Buy",I348+N(G348),IF(D348="Sell",I348-N(G348),IF(D348="Dividend",I348-N(G348),I348+N(G348)))))</f>
        <v/>
      </c>
      <c r="K348" s="76">
        <f>IF(B348="","",DATE(YEAR(B348),MONTH(B348),1))</f>
        <v/>
      </c>
      <c r="L348" s="77">
        <f>IF(B348="","",YEAR(B348))</f>
        <v/>
      </c>
    </row>
    <row r="349" ht="19" customHeight="1">
      <c r="A349" s="69">
        <f>IF(B349="","",ROW()-5)</f>
        <v/>
      </c>
      <c r="B349" s="43" t="n"/>
      <c r="C349" s="41" t="n"/>
      <c r="D349" s="41" t="n"/>
      <c r="E349" s="70" t="n"/>
      <c r="F349" s="71" t="n"/>
      <c r="G349" s="72" t="n"/>
      <c r="H349" s="73" t="n"/>
      <c r="I349" s="74">
        <f>IF(OR(E349="",F349=""),"",E349*F349)</f>
        <v/>
      </c>
      <c r="J349" s="75">
        <f>IF(I349="","",IF(D349="Buy",I349+N(G349),IF(D349="Sell",I349-N(G349),IF(D349="Dividend",I349-N(G349),I349+N(G349)))))</f>
        <v/>
      </c>
      <c r="K349" s="76">
        <f>IF(B349="","",DATE(YEAR(B349),MONTH(B349),1))</f>
        <v/>
      </c>
      <c r="L349" s="77">
        <f>IF(B349="","",YEAR(B349))</f>
        <v/>
      </c>
    </row>
    <row r="350" ht="19" customHeight="1">
      <c r="A350" s="69">
        <f>IF(B350="","",ROW()-5)</f>
        <v/>
      </c>
      <c r="B350" s="43" t="n"/>
      <c r="C350" s="41" t="n"/>
      <c r="D350" s="41" t="n"/>
      <c r="E350" s="70" t="n"/>
      <c r="F350" s="71" t="n"/>
      <c r="G350" s="72" t="n"/>
      <c r="H350" s="73" t="n"/>
      <c r="I350" s="74">
        <f>IF(OR(E350="",F350=""),"",E350*F350)</f>
        <v/>
      </c>
      <c r="J350" s="75">
        <f>IF(I350="","",IF(D350="Buy",I350+N(G350),IF(D350="Sell",I350-N(G350),IF(D350="Dividend",I350-N(G350),I350+N(G350)))))</f>
        <v/>
      </c>
      <c r="K350" s="76">
        <f>IF(B350="","",DATE(YEAR(B350),MONTH(B350),1))</f>
        <v/>
      </c>
      <c r="L350" s="77">
        <f>IF(B350="","",YEAR(B350))</f>
        <v/>
      </c>
    </row>
    <row r="351" ht="19" customHeight="1">
      <c r="A351" s="69">
        <f>IF(B351="","",ROW()-5)</f>
        <v/>
      </c>
      <c r="B351" s="43" t="n"/>
      <c r="C351" s="41" t="n"/>
      <c r="D351" s="41" t="n"/>
      <c r="E351" s="70" t="n"/>
      <c r="F351" s="71" t="n"/>
      <c r="G351" s="72" t="n"/>
      <c r="H351" s="73" t="n"/>
      <c r="I351" s="74">
        <f>IF(OR(E351="",F351=""),"",E351*F351)</f>
        <v/>
      </c>
      <c r="J351" s="75">
        <f>IF(I351="","",IF(D351="Buy",I351+N(G351),IF(D351="Sell",I351-N(G351),IF(D351="Dividend",I351-N(G351),I351+N(G351)))))</f>
        <v/>
      </c>
      <c r="K351" s="76">
        <f>IF(B351="","",DATE(YEAR(B351),MONTH(B351),1))</f>
        <v/>
      </c>
      <c r="L351" s="77">
        <f>IF(B351="","",YEAR(B351))</f>
        <v/>
      </c>
    </row>
    <row r="352" ht="19" customHeight="1">
      <c r="A352" s="69">
        <f>IF(B352="","",ROW()-5)</f>
        <v/>
      </c>
      <c r="B352" s="43" t="n"/>
      <c r="C352" s="41" t="n"/>
      <c r="D352" s="41" t="n"/>
      <c r="E352" s="70" t="n"/>
      <c r="F352" s="71" t="n"/>
      <c r="G352" s="72" t="n"/>
      <c r="H352" s="73" t="n"/>
      <c r="I352" s="74">
        <f>IF(OR(E352="",F352=""),"",E352*F352)</f>
        <v/>
      </c>
      <c r="J352" s="75">
        <f>IF(I352="","",IF(D352="Buy",I352+N(G352),IF(D352="Sell",I352-N(G352),IF(D352="Dividend",I352-N(G352),I352+N(G352)))))</f>
        <v/>
      </c>
      <c r="K352" s="76">
        <f>IF(B352="","",DATE(YEAR(B352),MONTH(B352),1))</f>
        <v/>
      </c>
      <c r="L352" s="77">
        <f>IF(B352="","",YEAR(B352))</f>
        <v/>
      </c>
    </row>
    <row r="353" ht="19" customHeight="1">
      <c r="A353" s="69">
        <f>IF(B353="","",ROW()-5)</f>
        <v/>
      </c>
      <c r="B353" s="43" t="n"/>
      <c r="C353" s="41" t="n"/>
      <c r="D353" s="41" t="n"/>
      <c r="E353" s="70" t="n"/>
      <c r="F353" s="71" t="n"/>
      <c r="G353" s="72" t="n"/>
      <c r="H353" s="73" t="n"/>
      <c r="I353" s="74">
        <f>IF(OR(E353="",F353=""),"",E353*F353)</f>
        <v/>
      </c>
      <c r="J353" s="75">
        <f>IF(I353="","",IF(D353="Buy",I353+N(G353),IF(D353="Sell",I353-N(G353),IF(D353="Dividend",I353-N(G353),I353+N(G353)))))</f>
        <v/>
      </c>
      <c r="K353" s="76">
        <f>IF(B353="","",DATE(YEAR(B353),MONTH(B353),1))</f>
        <v/>
      </c>
      <c r="L353" s="77">
        <f>IF(B353="","",YEAR(B353))</f>
        <v/>
      </c>
    </row>
    <row r="354" ht="19" customHeight="1">
      <c r="A354" s="69">
        <f>IF(B354="","",ROW()-5)</f>
        <v/>
      </c>
      <c r="B354" s="43" t="n"/>
      <c r="C354" s="41" t="n"/>
      <c r="D354" s="41" t="n"/>
      <c r="E354" s="70" t="n"/>
      <c r="F354" s="71" t="n"/>
      <c r="G354" s="72" t="n"/>
      <c r="H354" s="73" t="n"/>
      <c r="I354" s="74">
        <f>IF(OR(E354="",F354=""),"",E354*F354)</f>
        <v/>
      </c>
      <c r="J354" s="75">
        <f>IF(I354="","",IF(D354="Buy",I354+N(G354),IF(D354="Sell",I354-N(G354),IF(D354="Dividend",I354-N(G354),I354+N(G354)))))</f>
        <v/>
      </c>
      <c r="K354" s="76">
        <f>IF(B354="","",DATE(YEAR(B354),MONTH(B354),1))</f>
        <v/>
      </c>
      <c r="L354" s="77">
        <f>IF(B354="","",YEAR(B354))</f>
        <v/>
      </c>
    </row>
    <row r="355" ht="19" customHeight="1">
      <c r="A355" s="69">
        <f>IF(B355="","",ROW()-5)</f>
        <v/>
      </c>
      <c r="B355" s="43" t="n"/>
      <c r="C355" s="41" t="n"/>
      <c r="D355" s="41" t="n"/>
      <c r="E355" s="70" t="n"/>
      <c r="F355" s="71" t="n"/>
      <c r="G355" s="72" t="n"/>
      <c r="H355" s="73" t="n"/>
      <c r="I355" s="74">
        <f>IF(OR(E355="",F355=""),"",E355*F355)</f>
        <v/>
      </c>
      <c r="J355" s="75">
        <f>IF(I355="","",IF(D355="Buy",I355+N(G355),IF(D355="Sell",I355-N(G355),IF(D355="Dividend",I355-N(G355),I355+N(G355)))))</f>
        <v/>
      </c>
      <c r="K355" s="76">
        <f>IF(B355="","",DATE(YEAR(B355),MONTH(B355),1))</f>
        <v/>
      </c>
      <c r="L355" s="77">
        <f>IF(B355="","",YEAR(B355))</f>
        <v/>
      </c>
    </row>
    <row r="356" ht="19" customHeight="1">
      <c r="A356" s="69">
        <f>IF(B356="","",ROW()-5)</f>
        <v/>
      </c>
      <c r="B356" s="43" t="n"/>
      <c r="C356" s="41" t="n"/>
      <c r="D356" s="41" t="n"/>
      <c r="E356" s="70" t="n"/>
      <c r="F356" s="71" t="n"/>
      <c r="G356" s="72" t="n"/>
      <c r="H356" s="73" t="n"/>
      <c r="I356" s="74">
        <f>IF(OR(E356="",F356=""),"",E356*F356)</f>
        <v/>
      </c>
      <c r="J356" s="75">
        <f>IF(I356="","",IF(D356="Buy",I356+N(G356),IF(D356="Sell",I356-N(G356),IF(D356="Dividend",I356-N(G356),I356+N(G356)))))</f>
        <v/>
      </c>
      <c r="K356" s="76">
        <f>IF(B356="","",DATE(YEAR(B356),MONTH(B356),1))</f>
        <v/>
      </c>
      <c r="L356" s="77">
        <f>IF(B356="","",YEAR(B356))</f>
        <v/>
      </c>
    </row>
    <row r="357" ht="19" customHeight="1">
      <c r="A357" s="69">
        <f>IF(B357="","",ROW()-5)</f>
        <v/>
      </c>
      <c r="B357" s="43" t="n"/>
      <c r="C357" s="41" t="n"/>
      <c r="D357" s="41" t="n"/>
      <c r="E357" s="70" t="n"/>
      <c r="F357" s="71" t="n"/>
      <c r="G357" s="72" t="n"/>
      <c r="H357" s="73" t="n"/>
      <c r="I357" s="74">
        <f>IF(OR(E357="",F357=""),"",E357*F357)</f>
        <v/>
      </c>
      <c r="J357" s="75">
        <f>IF(I357="","",IF(D357="Buy",I357+N(G357),IF(D357="Sell",I357-N(G357),IF(D357="Dividend",I357-N(G357),I357+N(G357)))))</f>
        <v/>
      </c>
      <c r="K357" s="76">
        <f>IF(B357="","",DATE(YEAR(B357),MONTH(B357),1))</f>
        <v/>
      </c>
      <c r="L357" s="77">
        <f>IF(B357="","",YEAR(B357))</f>
        <v/>
      </c>
    </row>
    <row r="358" ht="19" customHeight="1">
      <c r="A358" s="69">
        <f>IF(B358="","",ROW()-5)</f>
        <v/>
      </c>
      <c r="B358" s="43" t="n"/>
      <c r="C358" s="41" t="n"/>
      <c r="D358" s="41" t="n"/>
      <c r="E358" s="70" t="n"/>
      <c r="F358" s="71" t="n"/>
      <c r="G358" s="72" t="n"/>
      <c r="H358" s="73" t="n"/>
      <c r="I358" s="74">
        <f>IF(OR(E358="",F358=""),"",E358*F358)</f>
        <v/>
      </c>
      <c r="J358" s="75">
        <f>IF(I358="","",IF(D358="Buy",I358+N(G358),IF(D358="Sell",I358-N(G358),IF(D358="Dividend",I358-N(G358),I358+N(G358)))))</f>
        <v/>
      </c>
      <c r="K358" s="76">
        <f>IF(B358="","",DATE(YEAR(B358),MONTH(B358),1))</f>
        <v/>
      </c>
      <c r="L358" s="77">
        <f>IF(B358="","",YEAR(B358))</f>
        <v/>
      </c>
    </row>
    <row r="359" ht="19" customHeight="1">
      <c r="A359" s="69">
        <f>IF(B359="","",ROW()-5)</f>
        <v/>
      </c>
      <c r="B359" s="43" t="n"/>
      <c r="C359" s="41" t="n"/>
      <c r="D359" s="41" t="n"/>
      <c r="E359" s="70" t="n"/>
      <c r="F359" s="71" t="n"/>
      <c r="G359" s="72" t="n"/>
      <c r="H359" s="73" t="n"/>
      <c r="I359" s="74">
        <f>IF(OR(E359="",F359=""),"",E359*F359)</f>
        <v/>
      </c>
      <c r="J359" s="75">
        <f>IF(I359="","",IF(D359="Buy",I359+N(G359),IF(D359="Sell",I359-N(G359),IF(D359="Dividend",I359-N(G359),I359+N(G359)))))</f>
        <v/>
      </c>
      <c r="K359" s="76">
        <f>IF(B359="","",DATE(YEAR(B359),MONTH(B359),1))</f>
        <v/>
      </c>
      <c r="L359" s="77">
        <f>IF(B359="","",YEAR(B359))</f>
        <v/>
      </c>
    </row>
    <row r="360" ht="19" customHeight="1">
      <c r="A360" s="69">
        <f>IF(B360="","",ROW()-5)</f>
        <v/>
      </c>
      <c r="B360" s="43" t="n"/>
      <c r="C360" s="41" t="n"/>
      <c r="D360" s="41" t="n"/>
      <c r="E360" s="70" t="n"/>
      <c r="F360" s="71" t="n"/>
      <c r="G360" s="72" t="n"/>
      <c r="H360" s="73" t="n"/>
      <c r="I360" s="74">
        <f>IF(OR(E360="",F360=""),"",E360*F360)</f>
        <v/>
      </c>
      <c r="J360" s="75">
        <f>IF(I360="","",IF(D360="Buy",I360+N(G360),IF(D360="Sell",I360-N(G360),IF(D360="Dividend",I360-N(G360),I360+N(G360)))))</f>
        <v/>
      </c>
      <c r="K360" s="76">
        <f>IF(B360="","",DATE(YEAR(B360),MONTH(B360),1))</f>
        <v/>
      </c>
      <c r="L360" s="77">
        <f>IF(B360="","",YEAR(B360))</f>
        <v/>
      </c>
    </row>
    <row r="361" ht="19" customHeight="1">
      <c r="A361" s="69">
        <f>IF(B361="","",ROW()-5)</f>
        <v/>
      </c>
      <c r="B361" s="43" t="n"/>
      <c r="C361" s="41" t="n"/>
      <c r="D361" s="41" t="n"/>
      <c r="E361" s="70" t="n"/>
      <c r="F361" s="71" t="n"/>
      <c r="G361" s="72" t="n"/>
      <c r="H361" s="73" t="n"/>
      <c r="I361" s="74">
        <f>IF(OR(E361="",F361=""),"",E361*F361)</f>
        <v/>
      </c>
      <c r="J361" s="75">
        <f>IF(I361="","",IF(D361="Buy",I361+N(G361),IF(D361="Sell",I361-N(G361),IF(D361="Dividend",I361-N(G361),I361+N(G361)))))</f>
        <v/>
      </c>
      <c r="K361" s="76">
        <f>IF(B361="","",DATE(YEAR(B361),MONTH(B361),1))</f>
        <v/>
      </c>
      <c r="L361" s="77">
        <f>IF(B361="","",YEAR(B361))</f>
        <v/>
      </c>
    </row>
    <row r="362" ht="19" customHeight="1">
      <c r="A362" s="69">
        <f>IF(B362="","",ROW()-5)</f>
        <v/>
      </c>
      <c r="B362" s="43" t="n"/>
      <c r="C362" s="41" t="n"/>
      <c r="D362" s="41" t="n"/>
      <c r="E362" s="70" t="n"/>
      <c r="F362" s="71" t="n"/>
      <c r="G362" s="72" t="n"/>
      <c r="H362" s="73" t="n"/>
      <c r="I362" s="74">
        <f>IF(OR(E362="",F362=""),"",E362*F362)</f>
        <v/>
      </c>
      <c r="J362" s="75">
        <f>IF(I362="","",IF(D362="Buy",I362+N(G362),IF(D362="Sell",I362-N(G362),IF(D362="Dividend",I362-N(G362),I362+N(G362)))))</f>
        <v/>
      </c>
      <c r="K362" s="76">
        <f>IF(B362="","",DATE(YEAR(B362),MONTH(B362),1))</f>
        <v/>
      </c>
      <c r="L362" s="77">
        <f>IF(B362="","",YEAR(B362))</f>
        <v/>
      </c>
    </row>
    <row r="363" ht="19" customHeight="1">
      <c r="A363" s="69">
        <f>IF(B363="","",ROW()-5)</f>
        <v/>
      </c>
      <c r="B363" s="43" t="n"/>
      <c r="C363" s="41" t="n"/>
      <c r="D363" s="41" t="n"/>
      <c r="E363" s="70" t="n"/>
      <c r="F363" s="71" t="n"/>
      <c r="G363" s="72" t="n"/>
      <c r="H363" s="73" t="n"/>
      <c r="I363" s="74">
        <f>IF(OR(E363="",F363=""),"",E363*F363)</f>
        <v/>
      </c>
      <c r="J363" s="75">
        <f>IF(I363="","",IF(D363="Buy",I363+N(G363),IF(D363="Sell",I363-N(G363),IF(D363="Dividend",I363-N(G363),I363+N(G363)))))</f>
        <v/>
      </c>
      <c r="K363" s="76">
        <f>IF(B363="","",DATE(YEAR(B363),MONTH(B363),1))</f>
        <v/>
      </c>
      <c r="L363" s="77">
        <f>IF(B363="","",YEAR(B363))</f>
        <v/>
      </c>
    </row>
    <row r="364" ht="19" customHeight="1">
      <c r="A364" s="69">
        <f>IF(B364="","",ROW()-5)</f>
        <v/>
      </c>
      <c r="B364" s="43" t="n"/>
      <c r="C364" s="41" t="n"/>
      <c r="D364" s="41" t="n"/>
      <c r="E364" s="70" t="n"/>
      <c r="F364" s="71" t="n"/>
      <c r="G364" s="72" t="n"/>
      <c r="H364" s="73" t="n"/>
      <c r="I364" s="74">
        <f>IF(OR(E364="",F364=""),"",E364*F364)</f>
        <v/>
      </c>
      <c r="J364" s="75">
        <f>IF(I364="","",IF(D364="Buy",I364+N(G364),IF(D364="Sell",I364-N(G364),IF(D364="Dividend",I364-N(G364),I364+N(G364)))))</f>
        <v/>
      </c>
      <c r="K364" s="76">
        <f>IF(B364="","",DATE(YEAR(B364),MONTH(B364),1))</f>
        <v/>
      </c>
      <c r="L364" s="77">
        <f>IF(B364="","",YEAR(B364))</f>
        <v/>
      </c>
    </row>
    <row r="365" ht="19" customHeight="1">
      <c r="A365" s="69">
        <f>IF(B365="","",ROW()-5)</f>
        <v/>
      </c>
      <c r="B365" s="43" t="n"/>
      <c r="C365" s="41" t="n"/>
      <c r="D365" s="41" t="n"/>
      <c r="E365" s="70" t="n"/>
      <c r="F365" s="71" t="n"/>
      <c r="G365" s="72" t="n"/>
      <c r="H365" s="73" t="n"/>
      <c r="I365" s="74">
        <f>IF(OR(E365="",F365=""),"",E365*F365)</f>
        <v/>
      </c>
      <c r="J365" s="75">
        <f>IF(I365="","",IF(D365="Buy",I365+N(G365),IF(D365="Sell",I365-N(G365),IF(D365="Dividend",I365-N(G365),I365+N(G365)))))</f>
        <v/>
      </c>
      <c r="K365" s="76">
        <f>IF(B365="","",DATE(YEAR(B365),MONTH(B365),1))</f>
        <v/>
      </c>
      <c r="L365" s="77">
        <f>IF(B365="","",YEAR(B365))</f>
        <v/>
      </c>
    </row>
    <row r="366" ht="19" customHeight="1">
      <c r="A366" s="69">
        <f>IF(B366="","",ROW()-5)</f>
        <v/>
      </c>
      <c r="B366" s="43" t="n"/>
      <c r="C366" s="41" t="n"/>
      <c r="D366" s="41" t="n"/>
      <c r="E366" s="70" t="n"/>
      <c r="F366" s="71" t="n"/>
      <c r="G366" s="72" t="n"/>
      <c r="H366" s="73" t="n"/>
      <c r="I366" s="74">
        <f>IF(OR(E366="",F366=""),"",E366*F366)</f>
        <v/>
      </c>
      <c r="J366" s="75">
        <f>IF(I366="","",IF(D366="Buy",I366+N(G366),IF(D366="Sell",I366-N(G366),IF(D366="Dividend",I366-N(G366),I366+N(G366)))))</f>
        <v/>
      </c>
      <c r="K366" s="76">
        <f>IF(B366="","",DATE(YEAR(B366),MONTH(B366),1))</f>
        <v/>
      </c>
      <c r="L366" s="77">
        <f>IF(B366="","",YEAR(B366))</f>
        <v/>
      </c>
    </row>
    <row r="367" ht="19" customHeight="1">
      <c r="A367" s="69">
        <f>IF(B367="","",ROW()-5)</f>
        <v/>
      </c>
      <c r="B367" s="43" t="n"/>
      <c r="C367" s="41" t="n"/>
      <c r="D367" s="41" t="n"/>
      <c r="E367" s="70" t="n"/>
      <c r="F367" s="71" t="n"/>
      <c r="G367" s="72" t="n"/>
      <c r="H367" s="73" t="n"/>
      <c r="I367" s="74">
        <f>IF(OR(E367="",F367=""),"",E367*F367)</f>
        <v/>
      </c>
      <c r="J367" s="75">
        <f>IF(I367="","",IF(D367="Buy",I367+N(G367),IF(D367="Sell",I367-N(G367),IF(D367="Dividend",I367-N(G367),I367+N(G367)))))</f>
        <v/>
      </c>
      <c r="K367" s="76">
        <f>IF(B367="","",DATE(YEAR(B367),MONTH(B367),1))</f>
        <v/>
      </c>
      <c r="L367" s="77">
        <f>IF(B367="","",YEAR(B367))</f>
        <v/>
      </c>
    </row>
    <row r="368" ht="19" customHeight="1">
      <c r="A368" s="69">
        <f>IF(B368="","",ROW()-5)</f>
        <v/>
      </c>
      <c r="B368" s="43" t="n"/>
      <c r="C368" s="41" t="n"/>
      <c r="D368" s="41" t="n"/>
      <c r="E368" s="70" t="n"/>
      <c r="F368" s="71" t="n"/>
      <c r="G368" s="72" t="n"/>
      <c r="H368" s="73" t="n"/>
      <c r="I368" s="74">
        <f>IF(OR(E368="",F368=""),"",E368*F368)</f>
        <v/>
      </c>
      <c r="J368" s="75">
        <f>IF(I368="","",IF(D368="Buy",I368+N(G368),IF(D368="Sell",I368-N(G368),IF(D368="Dividend",I368-N(G368),I368+N(G368)))))</f>
        <v/>
      </c>
      <c r="K368" s="76">
        <f>IF(B368="","",DATE(YEAR(B368),MONTH(B368),1))</f>
        <v/>
      </c>
      <c r="L368" s="77">
        <f>IF(B368="","",YEAR(B368))</f>
        <v/>
      </c>
    </row>
    <row r="369" ht="19" customHeight="1">
      <c r="A369" s="69">
        <f>IF(B369="","",ROW()-5)</f>
        <v/>
      </c>
      <c r="B369" s="43" t="n"/>
      <c r="C369" s="41" t="n"/>
      <c r="D369" s="41" t="n"/>
      <c r="E369" s="70" t="n"/>
      <c r="F369" s="71" t="n"/>
      <c r="G369" s="72" t="n"/>
      <c r="H369" s="73" t="n"/>
      <c r="I369" s="74">
        <f>IF(OR(E369="",F369=""),"",E369*F369)</f>
        <v/>
      </c>
      <c r="J369" s="75">
        <f>IF(I369="","",IF(D369="Buy",I369+N(G369),IF(D369="Sell",I369-N(G369),IF(D369="Dividend",I369-N(G369),I369+N(G369)))))</f>
        <v/>
      </c>
      <c r="K369" s="76">
        <f>IF(B369="","",DATE(YEAR(B369),MONTH(B369),1))</f>
        <v/>
      </c>
      <c r="L369" s="77">
        <f>IF(B369="","",YEAR(B369))</f>
        <v/>
      </c>
    </row>
    <row r="370" ht="19" customHeight="1">
      <c r="A370" s="69">
        <f>IF(B370="","",ROW()-5)</f>
        <v/>
      </c>
      <c r="B370" s="43" t="n"/>
      <c r="C370" s="41" t="n"/>
      <c r="D370" s="41" t="n"/>
      <c r="E370" s="70" t="n"/>
      <c r="F370" s="71" t="n"/>
      <c r="G370" s="72" t="n"/>
      <c r="H370" s="73" t="n"/>
      <c r="I370" s="74">
        <f>IF(OR(E370="",F370=""),"",E370*F370)</f>
        <v/>
      </c>
      <c r="J370" s="75">
        <f>IF(I370="","",IF(D370="Buy",I370+N(G370),IF(D370="Sell",I370-N(G370),IF(D370="Dividend",I370-N(G370),I370+N(G370)))))</f>
        <v/>
      </c>
      <c r="K370" s="76">
        <f>IF(B370="","",DATE(YEAR(B370),MONTH(B370),1))</f>
        <v/>
      </c>
      <c r="L370" s="77">
        <f>IF(B370="","",YEAR(B370))</f>
        <v/>
      </c>
    </row>
    <row r="371" ht="19" customHeight="1">
      <c r="A371" s="69">
        <f>IF(B371="","",ROW()-5)</f>
        <v/>
      </c>
      <c r="B371" s="43" t="n"/>
      <c r="C371" s="41" t="n"/>
      <c r="D371" s="41" t="n"/>
      <c r="E371" s="70" t="n"/>
      <c r="F371" s="71" t="n"/>
      <c r="G371" s="72" t="n"/>
      <c r="H371" s="73" t="n"/>
      <c r="I371" s="74">
        <f>IF(OR(E371="",F371=""),"",E371*F371)</f>
        <v/>
      </c>
      <c r="J371" s="75">
        <f>IF(I371="","",IF(D371="Buy",I371+N(G371),IF(D371="Sell",I371-N(G371),IF(D371="Dividend",I371-N(G371),I371+N(G371)))))</f>
        <v/>
      </c>
      <c r="K371" s="76">
        <f>IF(B371="","",DATE(YEAR(B371),MONTH(B371),1))</f>
        <v/>
      </c>
      <c r="L371" s="77">
        <f>IF(B371="","",YEAR(B371))</f>
        <v/>
      </c>
    </row>
    <row r="372" ht="19" customHeight="1">
      <c r="A372" s="69">
        <f>IF(B372="","",ROW()-5)</f>
        <v/>
      </c>
      <c r="B372" s="43" t="n"/>
      <c r="C372" s="41" t="n"/>
      <c r="D372" s="41" t="n"/>
      <c r="E372" s="70" t="n"/>
      <c r="F372" s="71" t="n"/>
      <c r="G372" s="72" t="n"/>
      <c r="H372" s="73" t="n"/>
      <c r="I372" s="74">
        <f>IF(OR(E372="",F372=""),"",E372*F372)</f>
        <v/>
      </c>
      <c r="J372" s="75">
        <f>IF(I372="","",IF(D372="Buy",I372+N(G372),IF(D372="Sell",I372-N(G372),IF(D372="Dividend",I372-N(G372),I372+N(G372)))))</f>
        <v/>
      </c>
      <c r="K372" s="76">
        <f>IF(B372="","",DATE(YEAR(B372),MONTH(B372),1))</f>
        <v/>
      </c>
      <c r="L372" s="77">
        <f>IF(B372="","",YEAR(B372))</f>
        <v/>
      </c>
    </row>
    <row r="373" ht="19" customHeight="1">
      <c r="A373" s="69">
        <f>IF(B373="","",ROW()-5)</f>
        <v/>
      </c>
      <c r="B373" s="43" t="n"/>
      <c r="C373" s="41" t="n"/>
      <c r="D373" s="41" t="n"/>
      <c r="E373" s="70" t="n"/>
      <c r="F373" s="71" t="n"/>
      <c r="G373" s="72" t="n"/>
      <c r="H373" s="73" t="n"/>
      <c r="I373" s="74">
        <f>IF(OR(E373="",F373=""),"",E373*F373)</f>
        <v/>
      </c>
      <c r="J373" s="75">
        <f>IF(I373="","",IF(D373="Buy",I373+N(G373),IF(D373="Sell",I373-N(G373),IF(D373="Dividend",I373-N(G373),I373+N(G373)))))</f>
        <v/>
      </c>
      <c r="K373" s="76">
        <f>IF(B373="","",DATE(YEAR(B373),MONTH(B373),1))</f>
        <v/>
      </c>
      <c r="L373" s="77">
        <f>IF(B373="","",YEAR(B373))</f>
        <v/>
      </c>
    </row>
    <row r="374" ht="19" customHeight="1">
      <c r="A374" s="69">
        <f>IF(B374="","",ROW()-5)</f>
        <v/>
      </c>
      <c r="B374" s="43" t="n"/>
      <c r="C374" s="41" t="n"/>
      <c r="D374" s="41" t="n"/>
      <c r="E374" s="70" t="n"/>
      <c r="F374" s="71" t="n"/>
      <c r="G374" s="72" t="n"/>
      <c r="H374" s="73" t="n"/>
      <c r="I374" s="74">
        <f>IF(OR(E374="",F374=""),"",E374*F374)</f>
        <v/>
      </c>
      <c r="J374" s="75">
        <f>IF(I374="","",IF(D374="Buy",I374+N(G374),IF(D374="Sell",I374-N(G374),IF(D374="Dividend",I374-N(G374),I374+N(G374)))))</f>
        <v/>
      </c>
      <c r="K374" s="76">
        <f>IF(B374="","",DATE(YEAR(B374),MONTH(B374),1))</f>
        <v/>
      </c>
      <c r="L374" s="77">
        <f>IF(B374="","",YEAR(B374))</f>
        <v/>
      </c>
    </row>
    <row r="375" ht="19" customHeight="1">
      <c r="A375" s="69">
        <f>IF(B375="","",ROW()-5)</f>
        <v/>
      </c>
      <c r="B375" s="43" t="n"/>
      <c r="C375" s="41" t="n"/>
      <c r="D375" s="41" t="n"/>
      <c r="E375" s="70" t="n"/>
      <c r="F375" s="71" t="n"/>
      <c r="G375" s="72" t="n"/>
      <c r="H375" s="73" t="n"/>
      <c r="I375" s="74">
        <f>IF(OR(E375="",F375=""),"",E375*F375)</f>
        <v/>
      </c>
      <c r="J375" s="75">
        <f>IF(I375="","",IF(D375="Buy",I375+N(G375),IF(D375="Sell",I375-N(G375),IF(D375="Dividend",I375-N(G375),I375+N(G375)))))</f>
        <v/>
      </c>
      <c r="K375" s="76">
        <f>IF(B375="","",DATE(YEAR(B375),MONTH(B375),1))</f>
        <v/>
      </c>
      <c r="L375" s="77">
        <f>IF(B375="","",YEAR(B375))</f>
        <v/>
      </c>
    </row>
    <row r="376" ht="19" customHeight="1">
      <c r="A376" s="69">
        <f>IF(B376="","",ROW()-5)</f>
        <v/>
      </c>
      <c r="B376" s="43" t="n"/>
      <c r="C376" s="41" t="n"/>
      <c r="D376" s="41" t="n"/>
      <c r="E376" s="70" t="n"/>
      <c r="F376" s="71" t="n"/>
      <c r="G376" s="72" t="n"/>
      <c r="H376" s="73" t="n"/>
      <c r="I376" s="74">
        <f>IF(OR(E376="",F376=""),"",E376*F376)</f>
        <v/>
      </c>
      <c r="J376" s="75">
        <f>IF(I376="","",IF(D376="Buy",I376+N(G376),IF(D376="Sell",I376-N(G376),IF(D376="Dividend",I376-N(G376),I376+N(G376)))))</f>
        <v/>
      </c>
      <c r="K376" s="76">
        <f>IF(B376="","",DATE(YEAR(B376),MONTH(B376),1))</f>
        <v/>
      </c>
      <c r="L376" s="77">
        <f>IF(B376="","",YEAR(B376))</f>
        <v/>
      </c>
    </row>
    <row r="377" ht="19" customHeight="1">
      <c r="A377" s="69">
        <f>IF(B377="","",ROW()-5)</f>
        <v/>
      </c>
      <c r="B377" s="43" t="n"/>
      <c r="C377" s="41" t="n"/>
      <c r="D377" s="41" t="n"/>
      <c r="E377" s="70" t="n"/>
      <c r="F377" s="71" t="n"/>
      <c r="G377" s="72" t="n"/>
      <c r="H377" s="73" t="n"/>
      <c r="I377" s="74">
        <f>IF(OR(E377="",F377=""),"",E377*F377)</f>
        <v/>
      </c>
      <c r="J377" s="75">
        <f>IF(I377="","",IF(D377="Buy",I377+N(G377),IF(D377="Sell",I377-N(G377),IF(D377="Dividend",I377-N(G377),I377+N(G377)))))</f>
        <v/>
      </c>
      <c r="K377" s="76">
        <f>IF(B377="","",DATE(YEAR(B377),MONTH(B377),1))</f>
        <v/>
      </c>
      <c r="L377" s="77">
        <f>IF(B377="","",YEAR(B377))</f>
        <v/>
      </c>
    </row>
    <row r="378" ht="19" customHeight="1">
      <c r="A378" s="69">
        <f>IF(B378="","",ROW()-5)</f>
        <v/>
      </c>
      <c r="B378" s="43" t="n"/>
      <c r="C378" s="41" t="n"/>
      <c r="D378" s="41" t="n"/>
      <c r="E378" s="70" t="n"/>
      <c r="F378" s="71" t="n"/>
      <c r="G378" s="72" t="n"/>
      <c r="H378" s="73" t="n"/>
      <c r="I378" s="74">
        <f>IF(OR(E378="",F378=""),"",E378*F378)</f>
        <v/>
      </c>
      <c r="J378" s="75">
        <f>IF(I378="","",IF(D378="Buy",I378+N(G378),IF(D378="Sell",I378-N(G378),IF(D378="Dividend",I378-N(G378),I378+N(G378)))))</f>
        <v/>
      </c>
      <c r="K378" s="76">
        <f>IF(B378="","",DATE(YEAR(B378),MONTH(B378),1))</f>
        <v/>
      </c>
      <c r="L378" s="77">
        <f>IF(B378="","",YEAR(B378))</f>
        <v/>
      </c>
    </row>
    <row r="379" ht="19" customHeight="1">
      <c r="A379" s="69">
        <f>IF(B379="","",ROW()-5)</f>
        <v/>
      </c>
      <c r="B379" s="43" t="n"/>
      <c r="C379" s="41" t="n"/>
      <c r="D379" s="41" t="n"/>
      <c r="E379" s="70" t="n"/>
      <c r="F379" s="71" t="n"/>
      <c r="G379" s="72" t="n"/>
      <c r="H379" s="73" t="n"/>
      <c r="I379" s="74">
        <f>IF(OR(E379="",F379=""),"",E379*F379)</f>
        <v/>
      </c>
      <c r="J379" s="75">
        <f>IF(I379="","",IF(D379="Buy",I379+N(G379),IF(D379="Sell",I379-N(G379),IF(D379="Dividend",I379-N(G379),I379+N(G379)))))</f>
        <v/>
      </c>
      <c r="K379" s="76">
        <f>IF(B379="","",DATE(YEAR(B379),MONTH(B379),1))</f>
        <v/>
      </c>
      <c r="L379" s="77">
        <f>IF(B379="","",YEAR(B379))</f>
        <v/>
      </c>
    </row>
    <row r="380" ht="19" customHeight="1">
      <c r="A380" s="69">
        <f>IF(B380="","",ROW()-5)</f>
        <v/>
      </c>
      <c r="B380" s="43" t="n"/>
      <c r="C380" s="41" t="n"/>
      <c r="D380" s="41" t="n"/>
      <c r="E380" s="70" t="n"/>
      <c r="F380" s="71" t="n"/>
      <c r="G380" s="72" t="n"/>
      <c r="H380" s="73" t="n"/>
      <c r="I380" s="74">
        <f>IF(OR(E380="",F380=""),"",E380*F380)</f>
        <v/>
      </c>
      <c r="J380" s="75">
        <f>IF(I380="","",IF(D380="Buy",I380+N(G380),IF(D380="Sell",I380-N(G380),IF(D380="Dividend",I380-N(G380),I380+N(G380)))))</f>
        <v/>
      </c>
      <c r="K380" s="76">
        <f>IF(B380="","",DATE(YEAR(B380),MONTH(B380),1))</f>
        <v/>
      </c>
      <c r="L380" s="77">
        <f>IF(B380="","",YEAR(B380))</f>
        <v/>
      </c>
    </row>
    <row r="381" ht="19" customHeight="1">
      <c r="A381" s="69">
        <f>IF(B381="","",ROW()-5)</f>
        <v/>
      </c>
      <c r="B381" s="43" t="n"/>
      <c r="C381" s="41" t="n"/>
      <c r="D381" s="41" t="n"/>
      <c r="E381" s="70" t="n"/>
      <c r="F381" s="71" t="n"/>
      <c r="G381" s="72" t="n"/>
      <c r="H381" s="73" t="n"/>
      <c r="I381" s="74">
        <f>IF(OR(E381="",F381=""),"",E381*F381)</f>
        <v/>
      </c>
      <c r="J381" s="75">
        <f>IF(I381="","",IF(D381="Buy",I381+N(G381),IF(D381="Sell",I381-N(G381),IF(D381="Dividend",I381-N(G381),I381+N(G381)))))</f>
        <v/>
      </c>
      <c r="K381" s="76">
        <f>IF(B381="","",DATE(YEAR(B381),MONTH(B381),1))</f>
        <v/>
      </c>
      <c r="L381" s="77">
        <f>IF(B381="","",YEAR(B381))</f>
        <v/>
      </c>
    </row>
    <row r="382" ht="19" customHeight="1">
      <c r="A382" s="69">
        <f>IF(B382="","",ROW()-5)</f>
        <v/>
      </c>
      <c r="B382" s="43" t="n"/>
      <c r="C382" s="41" t="n"/>
      <c r="D382" s="41" t="n"/>
      <c r="E382" s="70" t="n"/>
      <c r="F382" s="71" t="n"/>
      <c r="G382" s="72" t="n"/>
      <c r="H382" s="73" t="n"/>
      <c r="I382" s="74">
        <f>IF(OR(E382="",F382=""),"",E382*F382)</f>
        <v/>
      </c>
      <c r="J382" s="75">
        <f>IF(I382="","",IF(D382="Buy",I382+N(G382),IF(D382="Sell",I382-N(G382),IF(D382="Dividend",I382-N(G382),I382+N(G382)))))</f>
        <v/>
      </c>
      <c r="K382" s="76">
        <f>IF(B382="","",DATE(YEAR(B382),MONTH(B382),1))</f>
        <v/>
      </c>
      <c r="L382" s="77">
        <f>IF(B382="","",YEAR(B382))</f>
        <v/>
      </c>
    </row>
    <row r="383" ht="19" customHeight="1">
      <c r="A383" s="69">
        <f>IF(B383="","",ROW()-5)</f>
        <v/>
      </c>
      <c r="B383" s="43" t="n"/>
      <c r="C383" s="41" t="n"/>
      <c r="D383" s="41" t="n"/>
      <c r="E383" s="70" t="n"/>
      <c r="F383" s="71" t="n"/>
      <c r="G383" s="72" t="n"/>
      <c r="H383" s="73" t="n"/>
      <c r="I383" s="74">
        <f>IF(OR(E383="",F383=""),"",E383*F383)</f>
        <v/>
      </c>
      <c r="J383" s="75">
        <f>IF(I383="","",IF(D383="Buy",I383+N(G383),IF(D383="Sell",I383-N(G383),IF(D383="Dividend",I383-N(G383),I383+N(G383)))))</f>
        <v/>
      </c>
      <c r="K383" s="76">
        <f>IF(B383="","",DATE(YEAR(B383),MONTH(B383),1))</f>
        <v/>
      </c>
      <c r="L383" s="77">
        <f>IF(B383="","",YEAR(B383))</f>
        <v/>
      </c>
    </row>
    <row r="384" ht="19" customHeight="1">
      <c r="A384" s="69">
        <f>IF(B384="","",ROW()-5)</f>
        <v/>
      </c>
      <c r="B384" s="43" t="n"/>
      <c r="C384" s="41" t="n"/>
      <c r="D384" s="41" t="n"/>
      <c r="E384" s="70" t="n"/>
      <c r="F384" s="71" t="n"/>
      <c r="G384" s="72" t="n"/>
      <c r="H384" s="73" t="n"/>
      <c r="I384" s="74">
        <f>IF(OR(E384="",F384=""),"",E384*F384)</f>
        <v/>
      </c>
      <c r="J384" s="75">
        <f>IF(I384="","",IF(D384="Buy",I384+N(G384),IF(D384="Sell",I384-N(G384),IF(D384="Dividend",I384-N(G384),I384+N(G384)))))</f>
        <v/>
      </c>
      <c r="K384" s="76">
        <f>IF(B384="","",DATE(YEAR(B384),MONTH(B384),1))</f>
        <v/>
      </c>
      <c r="L384" s="77">
        <f>IF(B384="","",YEAR(B384))</f>
        <v/>
      </c>
    </row>
    <row r="385" ht="19" customHeight="1">
      <c r="A385" s="69">
        <f>IF(B385="","",ROW()-5)</f>
        <v/>
      </c>
      <c r="B385" s="43" t="n"/>
      <c r="C385" s="41" t="n"/>
      <c r="D385" s="41" t="n"/>
      <c r="E385" s="70" t="n"/>
      <c r="F385" s="71" t="n"/>
      <c r="G385" s="72" t="n"/>
      <c r="H385" s="73" t="n"/>
      <c r="I385" s="74">
        <f>IF(OR(E385="",F385=""),"",E385*F385)</f>
        <v/>
      </c>
      <c r="J385" s="75">
        <f>IF(I385="","",IF(D385="Buy",I385+N(G385),IF(D385="Sell",I385-N(G385),IF(D385="Dividend",I385-N(G385),I385+N(G385)))))</f>
        <v/>
      </c>
      <c r="K385" s="76">
        <f>IF(B385="","",DATE(YEAR(B385),MONTH(B385),1))</f>
        <v/>
      </c>
      <c r="L385" s="77">
        <f>IF(B385="","",YEAR(B385))</f>
        <v/>
      </c>
    </row>
    <row r="386" ht="19" customHeight="1">
      <c r="A386" s="69">
        <f>IF(B386="","",ROW()-5)</f>
        <v/>
      </c>
      <c r="B386" s="43" t="n"/>
      <c r="C386" s="41" t="n"/>
      <c r="D386" s="41" t="n"/>
      <c r="E386" s="70" t="n"/>
      <c r="F386" s="71" t="n"/>
      <c r="G386" s="72" t="n"/>
      <c r="H386" s="73" t="n"/>
      <c r="I386" s="74">
        <f>IF(OR(E386="",F386=""),"",E386*F386)</f>
        <v/>
      </c>
      <c r="J386" s="75">
        <f>IF(I386="","",IF(D386="Buy",I386+N(G386),IF(D386="Sell",I386-N(G386),IF(D386="Dividend",I386-N(G386),I386+N(G386)))))</f>
        <v/>
      </c>
      <c r="K386" s="76">
        <f>IF(B386="","",DATE(YEAR(B386),MONTH(B386),1))</f>
        <v/>
      </c>
      <c r="L386" s="77">
        <f>IF(B386="","",YEAR(B386))</f>
        <v/>
      </c>
    </row>
    <row r="387" ht="19" customHeight="1">
      <c r="A387" s="69">
        <f>IF(B387="","",ROW()-5)</f>
        <v/>
      </c>
      <c r="B387" s="43" t="n"/>
      <c r="C387" s="41" t="n"/>
      <c r="D387" s="41" t="n"/>
      <c r="E387" s="70" t="n"/>
      <c r="F387" s="71" t="n"/>
      <c r="G387" s="72" t="n"/>
      <c r="H387" s="73" t="n"/>
      <c r="I387" s="74">
        <f>IF(OR(E387="",F387=""),"",E387*F387)</f>
        <v/>
      </c>
      <c r="J387" s="75">
        <f>IF(I387="","",IF(D387="Buy",I387+N(G387),IF(D387="Sell",I387-N(G387),IF(D387="Dividend",I387-N(G387),I387+N(G387)))))</f>
        <v/>
      </c>
      <c r="K387" s="76">
        <f>IF(B387="","",DATE(YEAR(B387),MONTH(B387),1))</f>
        <v/>
      </c>
      <c r="L387" s="77">
        <f>IF(B387="","",YEAR(B387))</f>
        <v/>
      </c>
    </row>
    <row r="388" ht="19" customHeight="1">
      <c r="A388" s="69">
        <f>IF(B388="","",ROW()-5)</f>
        <v/>
      </c>
      <c r="B388" s="43" t="n"/>
      <c r="C388" s="41" t="n"/>
      <c r="D388" s="41" t="n"/>
      <c r="E388" s="70" t="n"/>
      <c r="F388" s="71" t="n"/>
      <c r="G388" s="72" t="n"/>
      <c r="H388" s="73" t="n"/>
      <c r="I388" s="74">
        <f>IF(OR(E388="",F388=""),"",E388*F388)</f>
        <v/>
      </c>
      <c r="J388" s="75">
        <f>IF(I388="","",IF(D388="Buy",I388+N(G388),IF(D388="Sell",I388-N(G388),IF(D388="Dividend",I388-N(G388),I388+N(G388)))))</f>
        <v/>
      </c>
      <c r="K388" s="76">
        <f>IF(B388="","",DATE(YEAR(B388),MONTH(B388),1))</f>
        <v/>
      </c>
      <c r="L388" s="77">
        <f>IF(B388="","",YEAR(B388))</f>
        <v/>
      </c>
    </row>
    <row r="389" ht="19" customHeight="1">
      <c r="A389" s="69">
        <f>IF(B389="","",ROW()-5)</f>
        <v/>
      </c>
      <c r="B389" s="43" t="n"/>
      <c r="C389" s="41" t="n"/>
      <c r="D389" s="41" t="n"/>
      <c r="E389" s="70" t="n"/>
      <c r="F389" s="71" t="n"/>
      <c r="G389" s="72" t="n"/>
      <c r="H389" s="73" t="n"/>
      <c r="I389" s="74">
        <f>IF(OR(E389="",F389=""),"",E389*F389)</f>
        <v/>
      </c>
      <c r="J389" s="75">
        <f>IF(I389="","",IF(D389="Buy",I389+N(G389),IF(D389="Sell",I389-N(G389),IF(D389="Dividend",I389-N(G389),I389+N(G389)))))</f>
        <v/>
      </c>
      <c r="K389" s="76">
        <f>IF(B389="","",DATE(YEAR(B389),MONTH(B389),1))</f>
        <v/>
      </c>
      <c r="L389" s="77">
        <f>IF(B389="","",YEAR(B389))</f>
        <v/>
      </c>
    </row>
    <row r="390" ht="19" customHeight="1">
      <c r="A390" s="69">
        <f>IF(B390="","",ROW()-5)</f>
        <v/>
      </c>
      <c r="B390" s="43" t="n"/>
      <c r="C390" s="41" t="n"/>
      <c r="D390" s="41" t="n"/>
      <c r="E390" s="70" t="n"/>
      <c r="F390" s="71" t="n"/>
      <c r="G390" s="72" t="n"/>
      <c r="H390" s="73" t="n"/>
      <c r="I390" s="74">
        <f>IF(OR(E390="",F390=""),"",E390*F390)</f>
        <v/>
      </c>
      <c r="J390" s="75">
        <f>IF(I390="","",IF(D390="Buy",I390+N(G390),IF(D390="Sell",I390-N(G390),IF(D390="Dividend",I390-N(G390),I390+N(G390)))))</f>
        <v/>
      </c>
      <c r="K390" s="76">
        <f>IF(B390="","",DATE(YEAR(B390),MONTH(B390),1))</f>
        <v/>
      </c>
      <c r="L390" s="77">
        <f>IF(B390="","",YEAR(B390))</f>
        <v/>
      </c>
    </row>
    <row r="391" ht="19" customHeight="1">
      <c r="A391" s="69">
        <f>IF(B391="","",ROW()-5)</f>
        <v/>
      </c>
      <c r="B391" s="43" t="n"/>
      <c r="C391" s="41" t="n"/>
      <c r="D391" s="41" t="n"/>
      <c r="E391" s="70" t="n"/>
      <c r="F391" s="71" t="n"/>
      <c r="G391" s="72" t="n"/>
      <c r="H391" s="73" t="n"/>
      <c r="I391" s="74">
        <f>IF(OR(E391="",F391=""),"",E391*F391)</f>
        <v/>
      </c>
      <c r="J391" s="75">
        <f>IF(I391="","",IF(D391="Buy",I391+N(G391),IF(D391="Sell",I391-N(G391),IF(D391="Dividend",I391-N(G391),I391+N(G391)))))</f>
        <v/>
      </c>
      <c r="K391" s="76">
        <f>IF(B391="","",DATE(YEAR(B391),MONTH(B391),1))</f>
        <v/>
      </c>
      <c r="L391" s="77">
        <f>IF(B391="","",YEAR(B391))</f>
        <v/>
      </c>
    </row>
    <row r="392" ht="19" customHeight="1">
      <c r="A392" s="69">
        <f>IF(B392="","",ROW()-5)</f>
        <v/>
      </c>
      <c r="B392" s="43" t="n"/>
      <c r="C392" s="41" t="n"/>
      <c r="D392" s="41" t="n"/>
      <c r="E392" s="70" t="n"/>
      <c r="F392" s="71" t="n"/>
      <c r="G392" s="72" t="n"/>
      <c r="H392" s="73" t="n"/>
      <c r="I392" s="74">
        <f>IF(OR(E392="",F392=""),"",E392*F392)</f>
        <v/>
      </c>
      <c r="J392" s="75">
        <f>IF(I392="","",IF(D392="Buy",I392+N(G392),IF(D392="Sell",I392-N(G392),IF(D392="Dividend",I392-N(G392),I392+N(G392)))))</f>
        <v/>
      </c>
      <c r="K392" s="76">
        <f>IF(B392="","",DATE(YEAR(B392),MONTH(B392),1))</f>
        <v/>
      </c>
      <c r="L392" s="77">
        <f>IF(B392="","",YEAR(B392))</f>
        <v/>
      </c>
    </row>
    <row r="393" ht="19" customHeight="1">
      <c r="A393" s="69">
        <f>IF(B393="","",ROW()-5)</f>
        <v/>
      </c>
      <c r="B393" s="43" t="n"/>
      <c r="C393" s="41" t="n"/>
      <c r="D393" s="41" t="n"/>
      <c r="E393" s="70" t="n"/>
      <c r="F393" s="71" t="n"/>
      <c r="G393" s="72" t="n"/>
      <c r="H393" s="73" t="n"/>
      <c r="I393" s="74">
        <f>IF(OR(E393="",F393=""),"",E393*F393)</f>
        <v/>
      </c>
      <c r="J393" s="75">
        <f>IF(I393="","",IF(D393="Buy",I393+N(G393),IF(D393="Sell",I393-N(G393),IF(D393="Dividend",I393-N(G393),I393+N(G393)))))</f>
        <v/>
      </c>
      <c r="K393" s="76">
        <f>IF(B393="","",DATE(YEAR(B393),MONTH(B393),1))</f>
        <v/>
      </c>
      <c r="L393" s="77">
        <f>IF(B393="","",YEAR(B393))</f>
        <v/>
      </c>
    </row>
    <row r="394" ht="19" customHeight="1">
      <c r="A394" s="69">
        <f>IF(B394="","",ROW()-5)</f>
        <v/>
      </c>
      <c r="B394" s="43" t="n"/>
      <c r="C394" s="41" t="n"/>
      <c r="D394" s="41" t="n"/>
      <c r="E394" s="70" t="n"/>
      <c r="F394" s="71" t="n"/>
      <c r="G394" s="72" t="n"/>
      <c r="H394" s="73" t="n"/>
      <c r="I394" s="74">
        <f>IF(OR(E394="",F394=""),"",E394*F394)</f>
        <v/>
      </c>
      <c r="J394" s="75">
        <f>IF(I394="","",IF(D394="Buy",I394+N(G394),IF(D394="Sell",I394-N(G394),IF(D394="Dividend",I394-N(G394),I394+N(G394)))))</f>
        <v/>
      </c>
      <c r="K394" s="76">
        <f>IF(B394="","",DATE(YEAR(B394),MONTH(B394),1))</f>
        <v/>
      </c>
      <c r="L394" s="77">
        <f>IF(B394="","",YEAR(B394))</f>
        <v/>
      </c>
    </row>
    <row r="395" ht="19" customHeight="1">
      <c r="A395" s="69">
        <f>IF(B395="","",ROW()-5)</f>
        <v/>
      </c>
      <c r="B395" s="43" t="n"/>
      <c r="C395" s="41" t="n"/>
      <c r="D395" s="41" t="n"/>
      <c r="E395" s="70" t="n"/>
      <c r="F395" s="71" t="n"/>
      <c r="G395" s="72" t="n"/>
      <c r="H395" s="73" t="n"/>
      <c r="I395" s="74">
        <f>IF(OR(E395="",F395=""),"",E395*F395)</f>
        <v/>
      </c>
      <c r="J395" s="75">
        <f>IF(I395="","",IF(D395="Buy",I395+N(G395),IF(D395="Sell",I395-N(G395),IF(D395="Dividend",I395-N(G395),I395+N(G395)))))</f>
        <v/>
      </c>
      <c r="K395" s="76">
        <f>IF(B395="","",DATE(YEAR(B395),MONTH(B395),1))</f>
        <v/>
      </c>
      <c r="L395" s="77">
        <f>IF(B395="","",YEAR(B395))</f>
        <v/>
      </c>
    </row>
    <row r="396" ht="19" customHeight="1">
      <c r="A396" s="69">
        <f>IF(B396="","",ROW()-5)</f>
        <v/>
      </c>
      <c r="B396" s="43" t="n"/>
      <c r="C396" s="41" t="n"/>
      <c r="D396" s="41" t="n"/>
      <c r="E396" s="70" t="n"/>
      <c r="F396" s="71" t="n"/>
      <c r="G396" s="72" t="n"/>
      <c r="H396" s="73" t="n"/>
      <c r="I396" s="74">
        <f>IF(OR(E396="",F396=""),"",E396*F396)</f>
        <v/>
      </c>
      <c r="J396" s="75">
        <f>IF(I396="","",IF(D396="Buy",I396+N(G396),IF(D396="Sell",I396-N(G396),IF(D396="Dividend",I396-N(G396),I396+N(G396)))))</f>
        <v/>
      </c>
      <c r="K396" s="76">
        <f>IF(B396="","",DATE(YEAR(B396),MONTH(B396),1))</f>
        <v/>
      </c>
      <c r="L396" s="77">
        <f>IF(B396="","",YEAR(B396))</f>
        <v/>
      </c>
    </row>
    <row r="397" ht="19" customHeight="1">
      <c r="A397" s="69">
        <f>IF(B397="","",ROW()-5)</f>
        <v/>
      </c>
      <c r="B397" s="43" t="n"/>
      <c r="C397" s="41" t="n"/>
      <c r="D397" s="41" t="n"/>
      <c r="E397" s="70" t="n"/>
      <c r="F397" s="71" t="n"/>
      <c r="G397" s="72" t="n"/>
      <c r="H397" s="73" t="n"/>
      <c r="I397" s="74">
        <f>IF(OR(E397="",F397=""),"",E397*F397)</f>
        <v/>
      </c>
      <c r="J397" s="75">
        <f>IF(I397="","",IF(D397="Buy",I397+N(G397),IF(D397="Sell",I397-N(G397),IF(D397="Dividend",I397-N(G397),I397+N(G397)))))</f>
        <v/>
      </c>
      <c r="K397" s="76">
        <f>IF(B397="","",DATE(YEAR(B397),MONTH(B397),1))</f>
        <v/>
      </c>
      <c r="L397" s="77">
        <f>IF(B397="","",YEAR(B397))</f>
        <v/>
      </c>
    </row>
    <row r="398" ht="19" customHeight="1">
      <c r="A398" s="69">
        <f>IF(B398="","",ROW()-5)</f>
        <v/>
      </c>
      <c r="B398" s="43" t="n"/>
      <c r="C398" s="41" t="n"/>
      <c r="D398" s="41" t="n"/>
      <c r="E398" s="70" t="n"/>
      <c r="F398" s="71" t="n"/>
      <c r="G398" s="72" t="n"/>
      <c r="H398" s="73" t="n"/>
      <c r="I398" s="74">
        <f>IF(OR(E398="",F398=""),"",E398*F398)</f>
        <v/>
      </c>
      <c r="J398" s="75">
        <f>IF(I398="","",IF(D398="Buy",I398+N(G398),IF(D398="Sell",I398-N(G398),IF(D398="Dividend",I398-N(G398),I398+N(G398)))))</f>
        <v/>
      </c>
      <c r="K398" s="76">
        <f>IF(B398="","",DATE(YEAR(B398),MONTH(B398),1))</f>
        <v/>
      </c>
      <c r="L398" s="77">
        <f>IF(B398="","",YEAR(B398))</f>
        <v/>
      </c>
    </row>
    <row r="399" ht="19" customHeight="1">
      <c r="A399" s="69">
        <f>IF(B399="","",ROW()-5)</f>
        <v/>
      </c>
      <c r="B399" s="43" t="n"/>
      <c r="C399" s="41" t="n"/>
      <c r="D399" s="41" t="n"/>
      <c r="E399" s="70" t="n"/>
      <c r="F399" s="71" t="n"/>
      <c r="G399" s="72" t="n"/>
      <c r="H399" s="73" t="n"/>
      <c r="I399" s="74">
        <f>IF(OR(E399="",F399=""),"",E399*F399)</f>
        <v/>
      </c>
      <c r="J399" s="75">
        <f>IF(I399="","",IF(D399="Buy",I399+N(G399),IF(D399="Sell",I399-N(G399),IF(D399="Dividend",I399-N(G399),I399+N(G399)))))</f>
        <v/>
      </c>
      <c r="K399" s="76">
        <f>IF(B399="","",DATE(YEAR(B399),MONTH(B399),1))</f>
        <v/>
      </c>
      <c r="L399" s="77">
        <f>IF(B399="","",YEAR(B399))</f>
        <v/>
      </c>
    </row>
    <row r="400" ht="19" customHeight="1">
      <c r="A400" s="69">
        <f>IF(B400="","",ROW()-5)</f>
        <v/>
      </c>
      <c r="B400" s="43" t="n"/>
      <c r="C400" s="41" t="n"/>
      <c r="D400" s="41" t="n"/>
      <c r="E400" s="70" t="n"/>
      <c r="F400" s="71" t="n"/>
      <c r="G400" s="72" t="n"/>
      <c r="H400" s="73" t="n"/>
      <c r="I400" s="74">
        <f>IF(OR(E400="",F400=""),"",E400*F400)</f>
        <v/>
      </c>
      <c r="J400" s="75">
        <f>IF(I400="","",IF(D400="Buy",I400+N(G400),IF(D400="Sell",I400-N(G400),IF(D400="Dividend",I400-N(G400),I400+N(G400)))))</f>
        <v/>
      </c>
      <c r="K400" s="76">
        <f>IF(B400="","",DATE(YEAR(B400),MONTH(B400),1))</f>
        <v/>
      </c>
      <c r="L400" s="77">
        <f>IF(B400="","",YEAR(B400))</f>
        <v/>
      </c>
    </row>
    <row r="401" ht="19" customHeight="1">
      <c r="A401" s="69">
        <f>IF(B401="","",ROW()-5)</f>
        <v/>
      </c>
      <c r="B401" s="43" t="n"/>
      <c r="C401" s="41" t="n"/>
      <c r="D401" s="41" t="n"/>
      <c r="E401" s="70" t="n"/>
      <c r="F401" s="71" t="n"/>
      <c r="G401" s="72" t="n"/>
      <c r="H401" s="73" t="n"/>
      <c r="I401" s="74">
        <f>IF(OR(E401="",F401=""),"",E401*F401)</f>
        <v/>
      </c>
      <c r="J401" s="75">
        <f>IF(I401="","",IF(D401="Buy",I401+N(G401),IF(D401="Sell",I401-N(G401),IF(D401="Dividend",I401-N(G401),I401+N(G401)))))</f>
        <v/>
      </c>
      <c r="K401" s="76">
        <f>IF(B401="","",DATE(YEAR(B401),MONTH(B401),1))</f>
        <v/>
      </c>
      <c r="L401" s="77">
        <f>IF(B401="","",YEAR(B401))</f>
        <v/>
      </c>
    </row>
    <row r="402" ht="19" customHeight="1">
      <c r="A402" s="69">
        <f>IF(B402="","",ROW()-5)</f>
        <v/>
      </c>
      <c r="B402" s="43" t="n"/>
      <c r="C402" s="41" t="n"/>
      <c r="D402" s="41" t="n"/>
      <c r="E402" s="70" t="n"/>
      <c r="F402" s="71" t="n"/>
      <c r="G402" s="72" t="n"/>
      <c r="H402" s="73" t="n"/>
      <c r="I402" s="74">
        <f>IF(OR(E402="",F402=""),"",E402*F402)</f>
        <v/>
      </c>
      <c r="J402" s="75">
        <f>IF(I402="","",IF(D402="Buy",I402+N(G402),IF(D402="Sell",I402-N(G402),IF(D402="Dividend",I402-N(G402),I402+N(G402)))))</f>
        <v/>
      </c>
      <c r="K402" s="76">
        <f>IF(B402="","",DATE(YEAR(B402),MONTH(B402),1))</f>
        <v/>
      </c>
      <c r="L402" s="77">
        <f>IF(B402="","",YEAR(B402))</f>
        <v/>
      </c>
    </row>
    <row r="403" ht="19" customHeight="1">
      <c r="A403" s="69">
        <f>IF(B403="","",ROW()-5)</f>
        <v/>
      </c>
      <c r="B403" s="43" t="n"/>
      <c r="C403" s="41" t="n"/>
      <c r="D403" s="41" t="n"/>
      <c r="E403" s="70" t="n"/>
      <c r="F403" s="71" t="n"/>
      <c r="G403" s="72" t="n"/>
      <c r="H403" s="73" t="n"/>
      <c r="I403" s="74">
        <f>IF(OR(E403="",F403=""),"",E403*F403)</f>
        <v/>
      </c>
      <c r="J403" s="75">
        <f>IF(I403="","",IF(D403="Buy",I403+N(G403),IF(D403="Sell",I403-N(G403),IF(D403="Dividend",I403-N(G403),I403+N(G403)))))</f>
        <v/>
      </c>
      <c r="K403" s="76">
        <f>IF(B403="","",DATE(YEAR(B403),MONTH(B403),1))</f>
        <v/>
      </c>
      <c r="L403" s="77">
        <f>IF(B403="","",YEAR(B403))</f>
        <v/>
      </c>
    </row>
    <row r="404" ht="19" customHeight="1">
      <c r="A404" s="69">
        <f>IF(B404="","",ROW()-5)</f>
        <v/>
      </c>
      <c r="B404" s="43" t="n"/>
      <c r="C404" s="41" t="n"/>
      <c r="D404" s="41" t="n"/>
      <c r="E404" s="70" t="n"/>
      <c r="F404" s="71" t="n"/>
      <c r="G404" s="72" t="n"/>
      <c r="H404" s="73" t="n"/>
      <c r="I404" s="74">
        <f>IF(OR(E404="",F404=""),"",E404*F404)</f>
        <v/>
      </c>
      <c r="J404" s="75">
        <f>IF(I404="","",IF(D404="Buy",I404+N(G404),IF(D404="Sell",I404-N(G404),IF(D404="Dividend",I404-N(G404),I404+N(G404)))))</f>
        <v/>
      </c>
      <c r="K404" s="76">
        <f>IF(B404="","",DATE(YEAR(B404),MONTH(B404),1))</f>
        <v/>
      </c>
      <c r="L404" s="77">
        <f>IF(B404="","",YEAR(B404))</f>
        <v/>
      </c>
    </row>
    <row r="405" ht="19" customHeight="1">
      <c r="A405" s="69">
        <f>IF(B405="","",ROW()-5)</f>
        <v/>
      </c>
      <c r="B405" s="43" t="n"/>
      <c r="C405" s="41" t="n"/>
      <c r="D405" s="41" t="n"/>
      <c r="E405" s="70" t="n"/>
      <c r="F405" s="71" t="n"/>
      <c r="G405" s="72" t="n"/>
      <c r="H405" s="73" t="n"/>
      <c r="I405" s="74">
        <f>IF(OR(E405="",F405=""),"",E405*F405)</f>
        <v/>
      </c>
      <c r="J405" s="75">
        <f>IF(I405="","",IF(D405="Buy",I405+N(G405),IF(D405="Sell",I405-N(G405),IF(D405="Dividend",I405-N(G405),I405+N(G405)))))</f>
        <v/>
      </c>
      <c r="K405" s="76">
        <f>IF(B405="","",DATE(YEAR(B405),MONTH(B405),1))</f>
        <v/>
      </c>
      <c r="L405" s="77">
        <f>IF(B405="","",YEAR(B405))</f>
        <v/>
      </c>
    </row>
    <row r="406" ht="19" customHeight="1">
      <c r="A406" s="69">
        <f>IF(B406="","",ROW()-5)</f>
        <v/>
      </c>
      <c r="B406" s="43" t="n"/>
      <c r="C406" s="41" t="n"/>
      <c r="D406" s="41" t="n"/>
      <c r="E406" s="70" t="n"/>
      <c r="F406" s="71" t="n"/>
      <c r="G406" s="72" t="n"/>
      <c r="H406" s="73" t="n"/>
      <c r="I406" s="74">
        <f>IF(OR(E406="",F406=""),"",E406*F406)</f>
        <v/>
      </c>
      <c r="J406" s="75">
        <f>IF(I406="","",IF(D406="Buy",I406+N(G406),IF(D406="Sell",I406-N(G406),IF(D406="Dividend",I406-N(G406),I406+N(G406)))))</f>
        <v/>
      </c>
      <c r="K406" s="76">
        <f>IF(B406="","",DATE(YEAR(B406),MONTH(B406),1))</f>
        <v/>
      </c>
      <c r="L406" s="77">
        <f>IF(B406="","",YEAR(B406))</f>
        <v/>
      </c>
    </row>
    <row r="407" ht="19" customHeight="1">
      <c r="A407" s="69">
        <f>IF(B407="","",ROW()-5)</f>
        <v/>
      </c>
      <c r="B407" s="43" t="n"/>
      <c r="C407" s="41" t="n"/>
      <c r="D407" s="41" t="n"/>
      <c r="E407" s="70" t="n"/>
      <c r="F407" s="71" t="n"/>
      <c r="G407" s="72" t="n"/>
      <c r="H407" s="73" t="n"/>
      <c r="I407" s="74">
        <f>IF(OR(E407="",F407=""),"",E407*F407)</f>
        <v/>
      </c>
      <c r="J407" s="75">
        <f>IF(I407="","",IF(D407="Buy",I407+N(G407),IF(D407="Sell",I407-N(G407),IF(D407="Dividend",I407-N(G407),I407+N(G407)))))</f>
        <v/>
      </c>
      <c r="K407" s="76">
        <f>IF(B407="","",DATE(YEAR(B407),MONTH(B407),1))</f>
        <v/>
      </c>
      <c r="L407" s="77">
        <f>IF(B407="","",YEAR(B407))</f>
        <v/>
      </c>
    </row>
    <row r="408" ht="19" customHeight="1">
      <c r="A408" s="69">
        <f>IF(B408="","",ROW()-5)</f>
        <v/>
      </c>
      <c r="B408" s="43" t="n"/>
      <c r="C408" s="41" t="n"/>
      <c r="D408" s="41" t="n"/>
      <c r="E408" s="70" t="n"/>
      <c r="F408" s="71" t="n"/>
      <c r="G408" s="72" t="n"/>
      <c r="H408" s="73" t="n"/>
      <c r="I408" s="74">
        <f>IF(OR(E408="",F408=""),"",E408*F408)</f>
        <v/>
      </c>
      <c r="J408" s="75">
        <f>IF(I408="","",IF(D408="Buy",I408+N(G408),IF(D408="Sell",I408-N(G408),IF(D408="Dividend",I408-N(G408),I408+N(G408)))))</f>
        <v/>
      </c>
      <c r="K408" s="76">
        <f>IF(B408="","",DATE(YEAR(B408),MONTH(B408),1))</f>
        <v/>
      </c>
      <c r="L408" s="77">
        <f>IF(B408="","",YEAR(B408))</f>
        <v/>
      </c>
    </row>
    <row r="409" ht="19" customHeight="1">
      <c r="A409" s="69">
        <f>IF(B409="","",ROW()-5)</f>
        <v/>
      </c>
      <c r="B409" s="43" t="n"/>
      <c r="C409" s="41" t="n"/>
      <c r="D409" s="41" t="n"/>
      <c r="E409" s="70" t="n"/>
      <c r="F409" s="71" t="n"/>
      <c r="G409" s="72" t="n"/>
      <c r="H409" s="73" t="n"/>
      <c r="I409" s="74">
        <f>IF(OR(E409="",F409=""),"",E409*F409)</f>
        <v/>
      </c>
      <c r="J409" s="75">
        <f>IF(I409="","",IF(D409="Buy",I409+N(G409),IF(D409="Sell",I409-N(G409),IF(D409="Dividend",I409-N(G409),I409+N(G409)))))</f>
        <v/>
      </c>
      <c r="K409" s="76">
        <f>IF(B409="","",DATE(YEAR(B409),MONTH(B409),1))</f>
        <v/>
      </c>
      <c r="L409" s="77">
        <f>IF(B409="","",YEAR(B409))</f>
        <v/>
      </c>
    </row>
    <row r="410" ht="19" customHeight="1">
      <c r="A410" s="69">
        <f>IF(B410="","",ROW()-5)</f>
        <v/>
      </c>
      <c r="B410" s="43" t="n"/>
      <c r="C410" s="41" t="n"/>
      <c r="D410" s="41" t="n"/>
      <c r="E410" s="70" t="n"/>
      <c r="F410" s="71" t="n"/>
      <c r="G410" s="72" t="n"/>
      <c r="H410" s="73" t="n"/>
      <c r="I410" s="74">
        <f>IF(OR(E410="",F410=""),"",E410*F410)</f>
        <v/>
      </c>
      <c r="J410" s="75">
        <f>IF(I410="","",IF(D410="Buy",I410+N(G410),IF(D410="Sell",I410-N(G410),IF(D410="Dividend",I410-N(G410),I410+N(G410)))))</f>
        <v/>
      </c>
      <c r="K410" s="76">
        <f>IF(B410="","",DATE(YEAR(B410),MONTH(B410),1))</f>
        <v/>
      </c>
      <c r="L410" s="77">
        <f>IF(B410="","",YEAR(B410))</f>
        <v/>
      </c>
    </row>
    <row r="411" ht="19" customHeight="1">
      <c r="A411" s="69">
        <f>IF(B411="","",ROW()-5)</f>
        <v/>
      </c>
      <c r="B411" s="43" t="n"/>
      <c r="C411" s="41" t="n"/>
      <c r="D411" s="41" t="n"/>
      <c r="E411" s="70" t="n"/>
      <c r="F411" s="71" t="n"/>
      <c r="G411" s="72" t="n"/>
      <c r="H411" s="73" t="n"/>
      <c r="I411" s="74">
        <f>IF(OR(E411="",F411=""),"",E411*F411)</f>
        <v/>
      </c>
      <c r="J411" s="75">
        <f>IF(I411="","",IF(D411="Buy",I411+N(G411),IF(D411="Sell",I411-N(G411),IF(D411="Dividend",I411-N(G411),I411+N(G411)))))</f>
        <v/>
      </c>
      <c r="K411" s="76">
        <f>IF(B411="","",DATE(YEAR(B411),MONTH(B411),1))</f>
        <v/>
      </c>
      <c r="L411" s="77">
        <f>IF(B411="","",YEAR(B411))</f>
        <v/>
      </c>
    </row>
    <row r="412" ht="19" customHeight="1">
      <c r="A412" s="69">
        <f>IF(B412="","",ROW()-5)</f>
        <v/>
      </c>
      <c r="B412" s="43" t="n"/>
      <c r="C412" s="41" t="n"/>
      <c r="D412" s="41" t="n"/>
      <c r="E412" s="70" t="n"/>
      <c r="F412" s="71" t="n"/>
      <c r="G412" s="72" t="n"/>
      <c r="H412" s="73" t="n"/>
      <c r="I412" s="74">
        <f>IF(OR(E412="",F412=""),"",E412*F412)</f>
        <v/>
      </c>
      <c r="J412" s="75">
        <f>IF(I412="","",IF(D412="Buy",I412+N(G412),IF(D412="Sell",I412-N(G412),IF(D412="Dividend",I412-N(G412),I412+N(G412)))))</f>
        <v/>
      </c>
      <c r="K412" s="76">
        <f>IF(B412="","",DATE(YEAR(B412),MONTH(B412),1))</f>
        <v/>
      </c>
      <c r="L412" s="77">
        <f>IF(B412="","",YEAR(B412))</f>
        <v/>
      </c>
    </row>
    <row r="413" ht="19" customHeight="1">
      <c r="A413" s="69">
        <f>IF(B413="","",ROW()-5)</f>
        <v/>
      </c>
      <c r="B413" s="43" t="n"/>
      <c r="C413" s="41" t="n"/>
      <c r="D413" s="41" t="n"/>
      <c r="E413" s="70" t="n"/>
      <c r="F413" s="71" t="n"/>
      <c r="G413" s="72" t="n"/>
      <c r="H413" s="73" t="n"/>
      <c r="I413" s="74">
        <f>IF(OR(E413="",F413=""),"",E413*F413)</f>
        <v/>
      </c>
      <c r="J413" s="75">
        <f>IF(I413="","",IF(D413="Buy",I413+N(G413),IF(D413="Sell",I413-N(G413),IF(D413="Dividend",I413-N(G413),I413+N(G413)))))</f>
        <v/>
      </c>
      <c r="K413" s="76">
        <f>IF(B413="","",DATE(YEAR(B413),MONTH(B413),1))</f>
        <v/>
      </c>
      <c r="L413" s="77">
        <f>IF(B413="","",YEAR(B413))</f>
        <v/>
      </c>
    </row>
    <row r="414" ht="19" customHeight="1">
      <c r="A414" s="69">
        <f>IF(B414="","",ROW()-5)</f>
        <v/>
      </c>
      <c r="B414" s="43" t="n"/>
      <c r="C414" s="41" t="n"/>
      <c r="D414" s="41" t="n"/>
      <c r="E414" s="70" t="n"/>
      <c r="F414" s="71" t="n"/>
      <c r="G414" s="72" t="n"/>
      <c r="H414" s="73" t="n"/>
      <c r="I414" s="74">
        <f>IF(OR(E414="",F414=""),"",E414*F414)</f>
        <v/>
      </c>
      <c r="J414" s="75">
        <f>IF(I414="","",IF(D414="Buy",I414+N(G414),IF(D414="Sell",I414-N(G414),IF(D414="Dividend",I414-N(G414),I414+N(G414)))))</f>
        <v/>
      </c>
      <c r="K414" s="76">
        <f>IF(B414="","",DATE(YEAR(B414),MONTH(B414),1))</f>
        <v/>
      </c>
      <c r="L414" s="77">
        <f>IF(B414="","",YEAR(B414))</f>
        <v/>
      </c>
    </row>
    <row r="415" ht="19" customHeight="1">
      <c r="A415" s="69">
        <f>IF(B415="","",ROW()-5)</f>
        <v/>
      </c>
      <c r="B415" s="43" t="n"/>
      <c r="C415" s="41" t="n"/>
      <c r="D415" s="41" t="n"/>
      <c r="E415" s="70" t="n"/>
      <c r="F415" s="71" t="n"/>
      <c r="G415" s="72" t="n"/>
      <c r="H415" s="73" t="n"/>
      <c r="I415" s="74">
        <f>IF(OR(E415="",F415=""),"",E415*F415)</f>
        <v/>
      </c>
      <c r="J415" s="75">
        <f>IF(I415="","",IF(D415="Buy",I415+N(G415),IF(D415="Sell",I415-N(G415),IF(D415="Dividend",I415-N(G415),I415+N(G415)))))</f>
        <v/>
      </c>
      <c r="K415" s="76">
        <f>IF(B415="","",DATE(YEAR(B415),MONTH(B415),1))</f>
        <v/>
      </c>
      <c r="L415" s="77">
        <f>IF(B415="","",YEAR(B415))</f>
        <v/>
      </c>
    </row>
    <row r="416" ht="19" customHeight="1">
      <c r="A416" s="69">
        <f>IF(B416="","",ROW()-5)</f>
        <v/>
      </c>
      <c r="B416" s="43" t="n"/>
      <c r="C416" s="41" t="n"/>
      <c r="D416" s="41" t="n"/>
      <c r="E416" s="70" t="n"/>
      <c r="F416" s="71" t="n"/>
      <c r="G416" s="72" t="n"/>
      <c r="H416" s="73" t="n"/>
      <c r="I416" s="74">
        <f>IF(OR(E416="",F416=""),"",E416*F416)</f>
        <v/>
      </c>
      <c r="J416" s="75">
        <f>IF(I416="","",IF(D416="Buy",I416+N(G416),IF(D416="Sell",I416-N(G416),IF(D416="Dividend",I416-N(G416),I416+N(G416)))))</f>
        <v/>
      </c>
      <c r="K416" s="76">
        <f>IF(B416="","",DATE(YEAR(B416),MONTH(B416),1))</f>
        <v/>
      </c>
      <c r="L416" s="77">
        <f>IF(B416="","",YEAR(B416))</f>
        <v/>
      </c>
    </row>
    <row r="417" ht="19" customHeight="1">
      <c r="A417" s="69">
        <f>IF(B417="","",ROW()-5)</f>
        <v/>
      </c>
      <c r="B417" s="43" t="n"/>
      <c r="C417" s="41" t="n"/>
      <c r="D417" s="41" t="n"/>
      <c r="E417" s="70" t="n"/>
      <c r="F417" s="71" t="n"/>
      <c r="G417" s="72" t="n"/>
      <c r="H417" s="73" t="n"/>
      <c r="I417" s="74">
        <f>IF(OR(E417="",F417=""),"",E417*F417)</f>
        <v/>
      </c>
      <c r="J417" s="75">
        <f>IF(I417="","",IF(D417="Buy",I417+N(G417),IF(D417="Sell",I417-N(G417),IF(D417="Dividend",I417-N(G417),I417+N(G417)))))</f>
        <v/>
      </c>
      <c r="K417" s="76">
        <f>IF(B417="","",DATE(YEAR(B417),MONTH(B417),1))</f>
        <v/>
      </c>
      <c r="L417" s="77">
        <f>IF(B417="","",YEAR(B417))</f>
        <v/>
      </c>
    </row>
    <row r="418" ht="19" customHeight="1">
      <c r="A418" s="69">
        <f>IF(B418="","",ROW()-5)</f>
        <v/>
      </c>
      <c r="B418" s="43" t="n"/>
      <c r="C418" s="41" t="n"/>
      <c r="D418" s="41" t="n"/>
      <c r="E418" s="70" t="n"/>
      <c r="F418" s="71" t="n"/>
      <c r="G418" s="72" t="n"/>
      <c r="H418" s="73" t="n"/>
      <c r="I418" s="74">
        <f>IF(OR(E418="",F418=""),"",E418*F418)</f>
        <v/>
      </c>
      <c r="J418" s="75">
        <f>IF(I418="","",IF(D418="Buy",I418+N(G418),IF(D418="Sell",I418-N(G418),IF(D418="Dividend",I418-N(G418),I418+N(G418)))))</f>
        <v/>
      </c>
      <c r="K418" s="76">
        <f>IF(B418="","",DATE(YEAR(B418),MONTH(B418),1))</f>
        <v/>
      </c>
      <c r="L418" s="77">
        <f>IF(B418="","",YEAR(B418))</f>
        <v/>
      </c>
    </row>
    <row r="419" ht="19" customHeight="1">
      <c r="A419" s="69">
        <f>IF(B419="","",ROW()-5)</f>
        <v/>
      </c>
      <c r="B419" s="43" t="n"/>
      <c r="C419" s="41" t="n"/>
      <c r="D419" s="41" t="n"/>
      <c r="E419" s="70" t="n"/>
      <c r="F419" s="71" t="n"/>
      <c r="G419" s="72" t="n"/>
      <c r="H419" s="73" t="n"/>
      <c r="I419" s="74">
        <f>IF(OR(E419="",F419=""),"",E419*F419)</f>
        <v/>
      </c>
      <c r="J419" s="75">
        <f>IF(I419="","",IF(D419="Buy",I419+N(G419),IF(D419="Sell",I419-N(G419),IF(D419="Dividend",I419-N(G419),I419+N(G419)))))</f>
        <v/>
      </c>
      <c r="K419" s="76">
        <f>IF(B419="","",DATE(YEAR(B419),MONTH(B419),1))</f>
        <v/>
      </c>
      <c r="L419" s="77">
        <f>IF(B419="","",YEAR(B419))</f>
        <v/>
      </c>
    </row>
    <row r="420" ht="19" customHeight="1">
      <c r="A420" s="69">
        <f>IF(B420="","",ROW()-5)</f>
        <v/>
      </c>
      <c r="B420" s="43" t="n"/>
      <c r="C420" s="41" t="n"/>
      <c r="D420" s="41" t="n"/>
      <c r="E420" s="70" t="n"/>
      <c r="F420" s="71" t="n"/>
      <c r="G420" s="72" t="n"/>
      <c r="H420" s="73" t="n"/>
      <c r="I420" s="74">
        <f>IF(OR(E420="",F420=""),"",E420*F420)</f>
        <v/>
      </c>
      <c r="J420" s="75">
        <f>IF(I420="","",IF(D420="Buy",I420+N(G420),IF(D420="Sell",I420-N(G420),IF(D420="Dividend",I420-N(G420),I420+N(G420)))))</f>
        <v/>
      </c>
      <c r="K420" s="76">
        <f>IF(B420="","",DATE(YEAR(B420),MONTH(B420),1))</f>
        <v/>
      </c>
      <c r="L420" s="77">
        <f>IF(B420="","",YEAR(B420))</f>
        <v/>
      </c>
    </row>
    <row r="421" ht="19" customHeight="1">
      <c r="A421" s="69">
        <f>IF(B421="","",ROW()-5)</f>
        <v/>
      </c>
      <c r="B421" s="43" t="n"/>
      <c r="C421" s="41" t="n"/>
      <c r="D421" s="41" t="n"/>
      <c r="E421" s="70" t="n"/>
      <c r="F421" s="71" t="n"/>
      <c r="G421" s="72" t="n"/>
      <c r="H421" s="73" t="n"/>
      <c r="I421" s="74">
        <f>IF(OR(E421="",F421=""),"",E421*F421)</f>
        <v/>
      </c>
      <c r="J421" s="75">
        <f>IF(I421="","",IF(D421="Buy",I421+N(G421),IF(D421="Sell",I421-N(G421),IF(D421="Dividend",I421-N(G421),I421+N(G421)))))</f>
        <v/>
      </c>
      <c r="K421" s="76">
        <f>IF(B421="","",DATE(YEAR(B421),MONTH(B421),1))</f>
        <v/>
      </c>
      <c r="L421" s="77">
        <f>IF(B421="","",YEAR(B421))</f>
        <v/>
      </c>
    </row>
    <row r="422" ht="19" customHeight="1">
      <c r="A422" s="69">
        <f>IF(B422="","",ROW()-5)</f>
        <v/>
      </c>
      <c r="B422" s="43" t="n"/>
      <c r="C422" s="41" t="n"/>
      <c r="D422" s="41" t="n"/>
      <c r="E422" s="70" t="n"/>
      <c r="F422" s="71" t="n"/>
      <c r="G422" s="72" t="n"/>
      <c r="H422" s="73" t="n"/>
      <c r="I422" s="74">
        <f>IF(OR(E422="",F422=""),"",E422*F422)</f>
        <v/>
      </c>
      <c r="J422" s="75">
        <f>IF(I422="","",IF(D422="Buy",I422+N(G422),IF(D422="Sell",I422-N(G422),IF(D422="Dividend",I422-N(G422),I422+N(G422)))))</f>
        <v/>
      </c>
      <c r="K422" s="76">
        <f>IF(B422="","",DATE(YEAR(B422),MONTH(B422),1))</f>
        <v/>
      </c>
      <c r="L422" s="77">
        <f>IF(B422="","",YEAR(B422))</f>
        <v/>
      </c>
    </row>
    <row r="423" ht="19" customHeight="1">
      <c r="A423" s="69">
        <f>IF(B423="","",ROW()-5)</f>
        <v/>
      </c>
      <c r="B423" s="43" t="n"/>
      <c r="C423" s="41" t="n"/>
      <c r="D423" s="41" t="n"/>
      <c r="E423" s="70" t="n"/>
      <c r="F423" s="71" t="n"/>
      <c r="G423" s="72" t="n"/>
      <c r="H423" s="73" t="n"/>
      <c r="I423" s="74">
        <f>IF(OR(E423="",F423=""),"",E423*F423)</f>
        <v/>
      </c>
      <c r="J423" s="75">
        <f>IF(I423="","",IF(D423="Buy",I423+N(G423),IF(D423="Sell",I423-N(G423),IF(D423="Dividend",I423-N(G423),I423+N(G423)))))</f>
        <v/>
      </c>
      <c r="K423" s="76">
        <f>IF(B423="","",DATE(YEAR(B423),MONTH(B423),1))</f>
        <v/>
      </c>
      <c r="L423" s="77">
        <f>IF(B423="","",YEAR(B423))</f>
        <v/>
      </c>
    </row>
    <row r="424" ht="19" customHeight="1">
      <c r="A424" s="69">
        <f>IF(B424="","",ROW()-5)</f>
        <v/>
      </c>
      <c r="B424" s="43" t="n"/>
      <c r="C424" s="41" t="n"/>
      <c r="D424" s="41" t="n"/>
      <c r="E424" s="70" t="n"/>
      <c r="F424" s="71" t="n"/>
      <c r="G424" s="72" t="n"/>
      <c r="H424" s="73" t="n"/>
      <c r="I424" s="74">
        <f>IF(OR(E424="",F424=""),"",E424*F424)</f>
        <v/>
      </c>
      <c r="J424" s="75">
        <f>IF(I424="","",IF(D424="Buy",I424+N(G424),IF(D424="Sell",I424-N(G424),IF(D424="Dividend",I424-N(G424),I424+N(G424)))))</f>
        <v/>
      </c>
      <c r="K424" s="76">
        <f>IF(B424="","",DATE(YEAR(B424),MONTH(B424),1))</f>
        <v/>
      </c>
      <c r="L424" s="77">
        <f>IF(B424="","",YEAR(B424))</f>
        <v/>
      </c>
    </row>
    <row r="425" ht="19" customHeight="1">
      <c r="A425" s="69">
        <f>IF(B425="","",ROW()-5)</f>
        <v/>
      </c>
      <c r="B425" s="43" t="n"/>
      <c r="C425" s="41" t="n"/>
      <c r="D425" s="41" t="n"/>
      <c r="E425" s="70" t="n"/>
      <c r="F425" s="71" t="n"/>
      <c r="G425" s="72" t="n"/>
      <c r="H425" s="73" t="n"/>
      <c r="I425" s="74">
        <f>IF(OR(E425="",F425=""),"",E425*F425)</f>
        <v/>
      </c>
      <c r="J425" s="75">
        <f>IF(I425="","",IF(D425="Buy",I425+N(G425),IF(D425="Sell",I425-N(G425),IF(D425="Dividend",I425-N(G425),I425+N(G425)))))</f>
        <v/>
      </c>
      <c r="K425" s="76">
        <f>IF(B425="","",DATE(YEAR(B425),MONTH(B425),1))</f>
        <v/>
      </c>
      <c r="L425" s="77">
        <f>IF(B425="","",YEAR(B425))</f>
        <v/>
      </c>
    </row>
    <row r="426" ht="19" customHeight="1">
      <c r="A426" s="69">
        <f>IF(B426="","",ROW()-5)</f>
        <v/>
      </c>
      <c r="B426" s="43" t="n"/>
      <c r="C426" s="41" t="n"/>
      <c r="D426" s="41" t="n"/>
      <c r="E426" s="70" t="n"/>
      <c r="F426" s="71" t="n"/>
      <c r="G426" s="72" t="n"/>
      <c r="H426" s="73" t="n"/>
      <c r="I426" s="74">
        <f>IF(OR(E426="",F426=""),"",E426*F426)</f>
        <v/>
      </c>
      <c r="J426" s="75">
        <f>IF(I426="","",IF(D426="Buy",I426+N(G426),IF(D426="Sell",I426-N(G426),IF(D426="Dividend",I426-N(G426),I426+N(G426)))))</f>
        <v/>
      </c>
      <c r="K426" s="76">
        <f>IF(B426="","",DATE(YEAR(B426),MONTH(B426),1))</f>
        <v/>
      </c>
      <c r="L426" s="77">
        <f>IF(B426="","",YEAR(B426))</f>
        <v/>
      </c>
    </row>
    <row r="427" ht="19" customHeight="1">
      <c r="A427" s="69">
        <f>IF(B427="","",ROW()-5)</f>
        <v/>
      </c>
      <c r="B427" s="43" t="n"/>
      <c r="C427" s="41" t="n"/>
      <c r="D427" s="41" t="n"/>
      <c r="E427" s="70" t="n"/>
      <c r="F427" s="71" t="n"/>
      <c r="G427" s="72" t="n"/>
      <c r="H427" s="73" t="n"/>
      <c r="I427" s="74">
        <f>IF(OR(E427="",F427=""),"",E427*F427)</f>
        <v/>
      </c>
      <c r="J427" s="75">
        <f>IF(I427="","",IF(D427="Buy",I427+N(G427),IF(D427="Sell",I427-N(G427),IF(D427="Dividend",I427-N(G427),I427+N(G427)))))</f>
        <v/>
      </c>
      <c r="K427" s="76">
        <f>IF(B427="","",DATE(YEAR(B427),MONTH(B427),1))</f>
        <v/>
      </c>
      <c r="L427" s="77">
        <f>IF(B427="","",YEAR(B427))</f>
        <v/>
      </c>
    </row>
    <row r="428" ht="19" customHeight="1">
      <c r="A428" s="69">
        <f>IF(B428="","",ROW()-5)</f>
        <v/>
      </c>
      <c r="B428" s="43" t="n"/>
      <c r="C428" s="41" t="n"/>
      <c r="D428" s="41" t="n"/>
      <c r="E428" s="70" t="n"/>
      <c r="F428" s="71" t="n"/>
      <c r="G428" s="72" t="n"/>
      <c r="H428" s="73" t="n"/>
      <c r="I428" s="74">
        <f>IF(OR(E428="",F428=""),"",E428*F428)</f>
        <v/>
      </c>
      <c r="J428" s="75">
        <f>IF(I428="","",IF(D428="Buy",I428+N(G428),IF(D428="Sell",I428-N(G428),IF(D428="Dividend",I428-N(G428),I428+N(G428)))))</f>
        <v/>
      </c>
      <c r="K428" s="76">
        <f>IF(B428="","",DATE(YEAR(B428),MONTH(B428),1))</f>
        <v/>
      </c>
      <c r="L428" s="77">
        <f>IF(B428="","",YEAR(B428))</f>
        <v/>
      </c>
    </row>
    <row r="429" ht="19" customHeight="1">
      <c r="A429" s="69">
        <f>IF(B429="","",ROW()-5)</f>
        <v/>
      </c>
      <c r="B429" s="43" t="n"/>
      <c r="C429" s="41" t="n"/>
      <c r="D429" s="41" t="n"/>
      <c r="E429" s="70" t="n"/>
      <c r="F429" s="71" t="n"/>
      <c r="G429" s="72" t="n"/>
      <c r="H429" s="73" t="n"/>
      <c r="I429" s="74">
        <f>IF(OR(E429="",F429=""),"",E429*F429)</f>
        <v/>
      </c>
      <c r="J429" s="75">
        <f>IF(I429="","",IF(D429="Buy",I429+N(G429),IF(D429="Sell",I429-N(G429),IF(D429="Dividend",I429-N(G429),I429+N(G429)))))</f>
        <v/>
      </c>
      <c r="K429" s="76">
        <f>IF(B429="","",DATE(YEAR(B429),MONTH(B429),1))</f>
        <v/>
      </c>
      <c r="L429" s="77">
        <f>IF(B429="","",YEAR(B429))</f>
        <v/>
      </c>
    </row>
    <row r="430" ht="19" customHeight="1">
      <c r="A430" s="69">
        <f>IF(B430="","",ROW()-5)</f>
        <v/>
      </c>
      <c r="B430" s="43" t="n"/>
      <c r="C430" s="41" t="n"/>
      <c r="D430" s="41" t="n"/>
      <c r="E430" s="70" t="n"/>
      <c r="F430" s="71" t="n"/>
      <c r="G430" s="72" t="n"/>
      <c r="H430" s="73" t="n"/>
      <c r="I430" s="74">
        <f>IF(OR(E430="",F430=""),"",E430*F430)</f>
        <v/>
      </c>
      <c r="J430" s="75">
        <f>IF(I430="","",IF(D430="Buy",I430+N(G430),IF(D430="Sell",I430-N(G430),IF(D430="Dividend",I430-N(G430),I430+N(G430)))))</f>
        <v/>
      </c>
      <c r="K430" s="76">
        <f>IF(B430="","",DATE(YEAR(B430),MONTH(B430),1))</f>
        <v/>
      </c>
      <c r="L430" s="77">
        <f>IF(B430="","",YEAR(B430))</f>
        <v/>
      </c>
    </row>
    <row r="431" ht="19" customHeight="1">
      <c r="A431" s="69">
        <f>IF(B431="","",ROW()-5)</f>
        <v/>
      </c>
      <c r="B431" s="43" t="n"/>
      <c r="C431" s="41" t="n"/>
      <c r="D431" s="41" t="n"/>
      <c r="E431" s="70" t="n"/>
      <c r="F431" s="71" t="n"/>
      <c r="G431" s="72" t="n"/>
      <c r="H431" s="73" t="n"/>
      <c r="I431" s="74">
        <f>IF(OR(E431="",F431=""),"",E431*F431)</f>
        <v/>
      </c>
      <c r="J431" s="75">
        <f>IF(I431="","",IF(D431="Buy",I431+N(G431),IF(D431="Sell",I431-N(G431),IF(D431="Dividend",I431-N(G431),I431+N(G431)))))</f>
        <v/>
      </c>
      <c r="K431" s="76">
        <f>IF(B431="","",DATE(YEAR(B431),MONTH(B431),1))</f>
        <v/>
      </c>
      <c r="L431" s="77">
        <f>IF(B431="","",YEAR(B431))</f>
        <v/>
      </c>
    </row>
    <row r="432" ht="19" customHeight="1">
      <c r="A432" s="69">
        <f>IF(B432="","",ROW()-5)</f>
        <v/>
      </c>
      <c r="B432" s="43" t="n"/>
      <c r="C432" s="41" t="n"/>
      <c r="D432" s="41" t="n"/>
      <c r="E432" s="70" t="n"/>
      <c r="F432" s="71" t="n"/>
      <c r="G432" s="72" t="n"/>
      <c r="H432" s="73" t="n"/>
      <c r="I432" s="74">
        <f>IF(OR(E432="",F432=""),"",E432*F432)</f>
        <v/>
      </c>
      <c r="J432" s="75">
        <f>IF(I432="","",IF(D432="Buy",I432+N(G432),IF(D432="Sell",I432-N(G432),IF(D432="Dividend",I432-N(G432),I432+N(G432)))))</f>
        <v/>
      </c>
      <c r="K432" s="76">
        <f>IF(B432="","",DATE(YEAR(B432),MONTH(B432),1))</f>
        <v/>
      </c>
      <c r="L432" s="77">
        <f>IF(B432="","",YEAR(B432))</f>
        <v/>
      </c>
    </row>
    <row r="433" ht="19" customHeight="1">
      <c r="A433" s="69">
        <f>IF(B433="","",ROW()-5)</f>
        <v/>
      </c>
      <c r="B433" s="43" t="n"/>
      <c r="C433" s="41" t="n"/>
      <c r="D433" s="41" t="n"/>
      <c r="E433" s="70" t="n"/>
      <c r="F433" s="71" t="n"/>
      <c r="G433" s="72" t="n"/>
      <c r="H433" s="73" t="n"/>
      <c r="I433" s="74">
        <f>IF(OR(E433="",F433=""),"",E433*F433)</f>
        <v/>
      </c>
      <c r="J433" s="75">
        <f>IF(I433="","",IF(D433="Buy",I433+N(G433),IF(D433="Sell",I433-N(G433),IF(D433="Dividend",I433-N(G433),I433+N(G433)))))</f>
        <v/>
      </c>
      <c r="K433" s="76">
        <f>IF(B433="","",DATE(YEAR(B433),MONTH(B433),1))</f>
        <v/>
      </c>
      <c r="L433" s="77">
        <f>IF(B433="","",YEAR(B433))</f>
        <v/>
      </c>
    </row>
    <row r="434" ht="19" customHeight="1">
      <c r="A434" s="69">
        <f>IF(B434="","",ROW()-5)</f>
        <v/>
      </c>
      <c r="B434" s="43" t="n"/>
      <c r="C434" s="41" t="n"/>
      <c r="D434" s="41" t="n"/>
      <c r="E434" s="70" t="n"/>
      <c r="F434" s="71" t="n"/>
      <c r="G434" s="72" t="n"/>
      <c r="H434" s="73" t="n"/>
      <c r="I434" s="74">
        <f>IF(OR(E434="",F434=""),"",E434*F434)</f>
        <v/>
      </c>
      <c r="J434" s="75">
        <f>IF(I434="","",IF(D434="Buy",I434+N(G434),IF(D434="Sell",I434-N(G434),IF(D434="Dividend",I434-N(G434),I434+N(G434)))))</f>
        <v/>
      </c>
      <c r="K434" s="76">
        <f>IF(B434="","",DATE(YEAR(B434),MONTH(B434),1))</f>
        <v/>
      </c>
      <c r="L434" s="77">
        <f>IF(B434="","",YEAR(B434))</f>
        <v/>
      </c>
    </row>
    <row r="435" ht="19" customHeight="1">
      <c r="A435" s="69">
        <f>IF(B435="","",ROW()-5)</f>
        <v/>
      </c>
      <c r="B435" s="43" t="n"/>
      <c r="C435" s="41" t="n"/>
      <c r="D435" s="41" t="n"/>
      <c r="E435" s="70" t="n"/>
      <c r="F435" s="71" t="n"/>
      <c r="G435" s="72" t="n"/>
      <c r="H435" s="73" t="n"/>
      <c r="I435" s="74">
        <f>IF(OR(E435="",F435=""),"",E435*F435)</f>
        <v/>
      </c>
      <c r="J435" s="75">
        <f>IF(I435="","",IF(D435="Buy",I435+N(G435),IF(D435="Sell",I435-N(G435),IF(D435="Dividend",I435-N(G435),I435+N(G435)))))</f>
        <v/>
      </c>
      <c r="K435" s="76">
        <f>IF(B435="","",DATE(YEAR(B435),MONTH(B435),1))</f>
        <v/>
      </c>
      <c r="L435" s="77">
        <f>IF(B435="","",YEAR(B435))</f>
        <v/>
      </c>
    </row>
    <row r="436" ht="19" customHeight="1">
      <c r="A436" s="69">
        <f>IF(B436="","",ROW()-5)</f>
        <v/>
      </c>
      <c r="B436" s="43" t="n"/>
      <c r="C436" s="41" t="n"/>
      <c r="D436" s="41" t="n"/>
      <c r="E436" s="70" t="n"/>
      <c r="F436" s="71" t="n"/>
      <c r="G436" s="72" t="n"/>
      <c r="H436" s="73" t="n"/>
      <c r="I436" s="74">
        <f>IF(OR(E436="",F436=""),"",E436*F436)</f>
        <v/>
      </c>
      <c r="J436" s="75">
        <f>IF(I436="","",IF(D436="Buy",I436+N(G436),IF(D436="Sell",I436-N(G436),IF(D436="Dividend",I436-N(G436),I436+N(G436)))))</f>
        <v/>
      </c>
      <c r="K436" s="76">
        <f>IF(B436="","",DATE(YEAR(B436),MONTH(B436),1))</f>
        <v/>
      </c>
      <c r="L436" s="77">
        <f>IF(B436="","",YEAR(B436))</f>
        <v/>
      </c>
    </row>
    <row r="437" ht="19" customHeight="1">
      <c r="A437" s="69">
        <f>IF(B437="","",ROW()-5)</f>
        <v/>
      </c>
      <c r="B437" s="43" t="n"/>
      <c r="C437" s="41" t="n"/>
      <c r="D437" s="41" t="n"/>
      <c r="E437" s="70" t="n"/>
      <c r="F437" s="71" t="n"/>
      <c r="G437" s="72" t="n"/>
      <c r="H437" s="73" t="n"/>
      <c r="I437" s="74">
        <f>IF(OR(E437="",F437=""),"",E437*F437)</f>
        <v/>
      </c>
      <c r="J437" s="75">
        <f>IF(I437="","",IF(D437="Buy",I437+N(G437),IF(D437="Sell",I437-N(G437),IF(D437="Dividend",I437-N(G437),I437+N(G437)))))</f>
        <v/>
      </c>
      <c r="K437" s="76">
        <f>IF(B437="","",DATE(YEAR(B437),MONTH(B437),1))</f>
        <v/>
      </c>
      <c r="L437" s="77">
        <f>IF(B437="","",YEAR(B437))</f>
        <v/>
      </c>
    </row>
    <row r="438" ht="19" customHeight="1">
      <c r="A438" s="69">
        <f>IF(B438="","",ROW()-5)</f>
        <v/>
      </c>
      <c r="B438" s="43" t="n"/>
      <c r="C438" s="41" t="n"/>
      <c r="D438" s="41" t="n"/>
      <c r="E438" s="70" t="n"/>
      <c r="F438" s="71" t="n"/>
      <c r="G438" s="72" t="n"/>
      <c r="H438" s="73" t="n"/>
      <c r="I438" s="74">
        <f>IF(OR(E438="",F438=""),"",E438*F438)</f>
        <v/>
      </c>
      <c r="J438" s="75">
        <f>IF(I438="","",IF(D438="Buy",I438+N(G438),IF(D438="Sell",I438-N(G438),IF(D438="Dividend",I438-N(G438),I438+N(G438)))))</f>
        <v/>
      </c>
      <c r="K438" s="76">
        <f>IF(B438="","",DATE(YEAR(B438),MONTH(B438),1))</f>
        <v/>
      </c>
      <c r="L438" s="77">
        <f>IF(B438="","",YEAR(B438))</f>
        <v/>
      </c>
    </row>
    <row r="439" ht="19" customHeight="1">
      <c r="A439" s="69">
        <f>IF(B439="","",ROW()-5)</f>
        <v/>
      </c>
      <c r="B439" s="43" t="n"/>
      <c r="C439" s="41" t="n"/>
      <c r="D439" s="41" t="n"/>
      <c r="E439" s="70" t="n"/>
      <c r="F439" s="71" t="n"/>
      <c r="G439" s="72" t="n"/>
      <c r="H439" s="73" t="n"/>
      <c r="I439" s="74">
        <f>IF(OR(E439="",F439=""),"",E439*F439)</f>
        <v/>
      </c>
      <c r="J439" s="75">
        <f>IF(I439="","",IF(D439="Buy",I439+N(G439),IF(D439="Sell",I439-N(G439),IF(D439="Dividend",I439-N(G439),I439+N(G439)))))</f>
        <v/>
      </c>
      <c r="K439" s="76">
        <f>IF(B439="","",DATE(YEAR(B439),MONTH(B439),1))</f>
        <v/>
      </c>
      <c r="L439" s="77">
        <f>IF(B439="","",YEAR(B439))</f>
        <v/>
      </c>
    </row>
    <row r="440" ht="19" customHeight="1">
      <c r="A440" s="69">
        <f>IF(B440="","",ROW()-5)</f>
        <v/>
      </c>
      <c r="B440" s="43" t="n"/>
      <c r="C440" s="41" t="n"/>
      <c r="D440" s="41" t="n"/>
      <c r="E440" s="70" t="n"/>
      <c r="F440" s="71" t="n"/>
      <c r="G440" s="72" t="n"/>
      <c r="H440" s="73" t="n"/>
      <c r="I440" s="74">
        <f>IF(OR(E440="",F440=""),"",E440*F440)</f>
        <v/>
      </c>
      <c r="J440" s="75">
        <f>IF(I440="","",IF(D440="Buy",I440+N(G440),IF(D440="Sell",I440-N(G440),IF(D440="Dividend",I440-N(G440),I440+N(G440)))))</f>
        <v/>
      </c>
      <c r="K440" s="76">
        <f>IF(B440="","",DATE(YEAR(B440),MONTH(B440),1))</f>
        <v/>
      </c>
      <c r="L440" s="77">
        <f>IF(B440="","",YEAR(B440))</f>
        <v/>
      </c>
    </row>
    <row r="441" ht="19" customHeight="1">
      <c r="A441" s="69">
        <f>IF(B441="","",ROW()-5)</f>
        <v/>
      </c>
      <c r="B441" s="43" t="n"/>
      <c r="C441" s="41" t="n"/>
      <c r="D441" s="41" t="n"/>
      <c r="E441" s="70" t="n"/>
      <c r="F441" s="71" t="n"/>
      <c r="G441" s="72" t="n"/>
      <c r="H441" s="73" t="n"/>
      <c r="I441" s="74">
        <f>IF(OR(E441="",F441=""),"",E441*F441)</f>
        <v/>
      </c>
      <c r="J441" s="75">
        <f>IF(I441="","",IF(D441="Buy",I441+N(G441),IF(D441="Sell",I441-N(G441),IF(D441="Dividend",I441-N(G441),I441+N(G441)))))</f>
        <v/>
      </c>
      <c r="K441" s="76">
        <f>IF(B441="","",DATE(YEAR(B441),MONTH(B441),1))</f>
        <v/>
      </c>
      <c r="L441" s="77">
        <f>IF(B441="","",YEAR(B441))</f>
        <v/>
      </c>
    </row>
    <row r="442" ht="19" customHeight="1">
      <c r="A442" s="69">
        <f>IF(B442="","",ROW()-5)</f>
        <v/>
      </c>
      <c r="B442" s="43" t="n"/>
      <c r="C442" s="41" t="n"/>
      <c r="D442" s="41" t="n"/>
      <c r="E442" s="70" t="n"/>
      <c r="F442" s="71" t="n"/>
      <c r="G442" s="72" t="n"/>
      <c r="H442" s="73" t="n"/>
      <c r="I442" s="74">
        <f>IF(OR(E442="",F442=""),"",E442*F442)</f>
        <v/>
      </c>
      <c r="J442" s="75">
        <f>IF(I442="","",IF(D442="Buy",I442+N(G442),IF(D442="Sell",I442-N(G442),IF(D442="Dividend",I442-N(G442),I442+N(G442)))))</f>
        <v/>
      </c>
      <c r="K442" s="76">
        <f>IF(B442="","",DATE(YEAR(B442),MONTH(B442),1))</f>
        <v/>
      </c>
      <c r="L442" s="77">
        <f>IF(B442="","",YEAR(B442))</f>
        <v/>
      </c>
    </row>
    <row r="443" ht="19" customHeight="1">
      <c r="A443" s="69">
        <f>IF(B443="","",ROW()-5)</f>
        <v/>
      </c>
      <c r="B443" s="43" t="n"/>
      <c r="C443" s="41" t="n"/>
      <c r="D443" s="41" t="n"/>
      <c r="E443" s="70" t="n"/>
      <c r="F443" s="71" t="n"/>
      <c r="G443" s="72" t="n"/>
      <c r="H443" s="73" t="n"/>
      <c r="I443" s="74">
        <f>IF(OR(E443="",F443=""),"",E443*F443)</f>
        <v/>
      </c>
      <c r="J443" s="75">
        <f>IF(I443="","",IF(D443="Buy",I443+N(G443),IF(D443="Sell",I443-N(G443),IF(D443="Dividend",I443-N(G443),I443+N(G443)))))</f>
        <v/>
      </c>
      <c r="K443" s="76">
        <f>IF(B443="","",DATE(YEAR(B443),MONTH(B443),1))</f>
        <v/>
      </c>
      <c r="L443" s="77">
        <f>IF(B443="","",YEAR(B443))</f>
        <v/>
      </c>
    </row>
    <row r="444" ht="19" customHeight="1">
      <c r="A444" s="69">
        <f>IF(B444="","",ROW()-5)</f>
        <v/>
      </c>
      <c r="B444" s="43" t="n"/>
      <c r="C444" s="41" t="n"/>
      <c r="D444" s="41" t="n"/>
      <c r="E444" s="70" t="n"/>
      <c r="F444" s="71" t="n"/>
      <c r="G444" s="72" t="n"/>
      <c r="H444" s="73" t="n"/>
      <c r="I444" s="74">
        <f>IF(OR(E444="",F444=""),"",E444*F444)</f>
        <v/>
      </c>
      <c r="J444" s="75">
        <f>IF(I444="","",IF(D444="Buy",I444+N(G444),IF(D444="Sell",I444-N(G444),IF(D444="Dividend",I444-N(G444),I444+N(G444)))))</f>
        <v/>
      </c>
      <c r="K444" s="76">
        <f>IF(B444="","",DATE(YEAR(B444),MONTH(B444),1))</f>
        <v/>
      </c>
      <c r="L444" s="77">
        <f>IF(B444="","",YEAR(B444))</f>
        <v/>
      </c>
    </row>
    <row r="445" ht="19" customHeight="1">
      <c r="A445" s="69">
        <f>IF(B445="","",ROW()-5)</f>
        <v/>
      </c>
      <c r="B445" s="43" t="n"/>
      <c r="C445" s="41" t="n"/>
      <c r="D445" s="41" t="n"/>
      <c r="E445" s="70" t="n"/>
      <c r="F445" s="71" t="n"/>
      <c r="G445" s="72" t="n"/>
      <c r="H445" s="73" t="n"/>
      <c r="I445" s="74">
        <f>IF(OR(E445="",F445=""),"",E445*F445)</f>
        <v/>
      </c>
      <c r="J445" s="75">
        <f>IF(I445="","",IF(D445="Buy",I445+N(G445),IF(D445="Sell",I445-N(G445),IF(D445="Dividend",I445-N(G445),I445+N(G445)))))</f>
        <v/>
      </c>
      <c r="K445" s="76">
        <f>IF(B445="","",DATE(YEAR(B445),MONTH(B445),1))</f>
        <v/>
      </c>
      <c r="L445" s="77">
        <f>IF(B445="","",YEAR(B445))</f>
        <v/>
      </c>
    </row>
    <row r="446" ht="19" customHeight="1">
      <c r="A446" s="69">
        <f>IF(B446="","",ROW()-5)</f>
        <v/>
      </c>
      <c r="B446" s="43" t="n"/>
      <c r="C446" s="41" t="n"/>
      <c r="D446" s="41" t="n"/>
      <c r="E446" s="70" t="n"/>
      <c r="F446" s="71" t="n"/>
      <c r="G446" s="72" t="n"/>
      <c r="H446" s="73" t="n"/>
      <c r="I446" s="74">
        <f>IF(OR(E446="",F446=""),"",E446*F446)</f>
        <v/>
      </c>
      <c r="J446" s="75">
        <f>IF(I446="","",IF(D446="Buy",I446+N(G446),IF(D446="Sell",I446-N(G446),IF(D446="Dividend",I446-N(G446),I446+N(G446)))))</f>
        <v/>
      </c>
      <c r="K446" s="76">
        <f>IF(B446="","",DATE(YEAR(B446),MONTH(B446),1))</f>
        <v/>
      </c>
      <c r="L446" s="77">
        <f>IF(B446="","",YEAR(B446))</f>
        <v/>
      </c>
    </row>
    <row r="447" ht="19" customHeight="1">
      <c r="A447" s="69">
        <f>IF(B447="","",ROW()-5)</f>
        <v/>
      </c>
      <c r="B447" s="43" t="n"/>
      <c r="C447" s="41" t="n"/>
      <c r="D447" s="41" t="n"/>
      <c r="E447" s="70" t="n"/>
      <c r="F447" s="71" t="n"/>
      <c r="G447" s="72" t="n"/>
      <c r="H447" s="73" t="n"/>
      <c r="I447" s="74">
        <f>IF(OR(E447="",F447=""),"",E447*F447)</f>
        <v/>
      </c>
      <c r="J447" s="75">
        <f>IF(I447="","",IF(D447="Buy",I447+N(G447),IF(D447="Sell",I447-N(G447),IF(D447="Dividend",I447-N(G447),I447+N(G447)))))</f>
        <v/>
      </c>
      <c r="K447" s="76">
        <f>IF(B447="","",DATE(YEAR(B447),MONTH(B447),1))</f>
        <v/>
      </c>
      <c r="L447" s="77">
        <f>IF(B447="","",YEAR(B447))</f>
        <v/>
      </c>
    </row>
    <row r="448" ht="19" customHeight="1">
      <c r="A448" s="69">
        <f>IF(B448="","",ROW()-5)</f>
        <v/>
      </c>
      <c r="B448" s="43" t="n"/>
      <c r="C448" s="41" t="n"/>
      <c r="D448" s="41" t="n"/>
      <c r="E448" s="70" t="n"/>
      <c r="F448" s="71" t="n"/>
      <c r="G448" s="72" t="n"/>
      <c r="H448" s="73" t="n"/>
      <c r="I448" s="74">
        <f>IF(OR(E448="",F448=""),"",E448*F448)</f>
        <v/>
      </c>
      <c r="J448" s="75">
        <f>IF(I448="","",IF(D448="Buy",I448+N(G448),IF(D448="Sell",I448-N(G448),IF(D448="Dividend",I448-N(G448),I448+N(G448)))))</f>
        <v/>
      </c>
      <c r="K448" s="76">
        <f>IF(B448="","",DATE(YEAR(B448),MONTH(B448),1))</f>
        <v/>
      </c>
      <c r="L448" s="77">
        <f>IF(B448="","",YEAR(B448))</f>
        <v/>
      </c>
    </row>
    <row r="449" ht="19" customHeight="1">
      <c r="A449" s="69">
        <f>IF(B449="","",ROW()-5)</f>
        <v/>
      </c>
      <c r="B449" s="43" t="n"/>
      <c r="C449" s="41" t="n"/>
      <c r="D449" s="41" t="n"/>
      <c r="E449" s="70" t="n"/>
      <c r="F449" s="71" t="n"/>
      <c r="G449" s="72" t="n"/>
      <c r="H449" s="73" t="n"/>
      <c r="I449" s="74">
        <f>IF(OR(E449="",F449=""),"",E449*F449)</f>
        <v/>
      </c>
      <c r="J449" s="75">
        <f>IF(I449="","",IF(D449="Buy",I449+N(G449),IF(D449="Sell",I449-N(G449),IF(D449="Dividend",I449-N(G449),I449+N(G449)))))</f>
        <v/>
      </c>
      <c r="K449" s="76">
        <f>IF(B449="","",DATE(YEAR(B449),MONTH(B449),1))</f>
        <v/>
      </c>
      <c r="L449" s="77">
        <f>IF(B449="","",YEAR(B449))</f>
        <v/>
      </c>
    </row>
    <row r="450" ht="19" customHeight="1">
      <c r="A450" s="69">
        <f>IF(B450="","",ROW()-5)</f>
        <v/>
      </c>
      <c r="B450" s="43" t="n"/>
      <c r="C450" s="41" t="n"/>
      <c r="D450" s="41" t="n"/>
      <c r="E450" s="70" t="n"/>
      <c r="F450" s="71" t="n"/>
      <c r="G450" s="72" t="n"/>
      <c r="H450" s="73" t="n"/>
      <c r="I450" s="74">
        <f>IF(OR(E450="",F450=""),"",E450*F450)</f>
        <v/>
      </c>
      <c r="J450" s="75">
        <f>IF(I450="","",IF(D450="Buy",I450+N(G450),IF(D450="Sell",I450-N(G450),IF(D450="Dividend",I450-N(G450),I450+N(G450)))))</f>
        <v/>
      </c>
      <c r="K450" s="76">
        <f>IF(B450="","",DATE(YEAR(B450),MONTH(B450),1))</f>
        <v/>
      </c>
      <c r="L450" s="77">
        <f>IF(B450="","",YEAR(B450))</f>
        <v/>
      </c>
    </row>
    <row r="451" ht="19" customHeight="1">
      <c r="A451" s="69">
        <f>IF(B451="","",ROW()-5)</f>
        <v/>
      </c>
      <c r="B451" s="43" t="n"/>
      <c r="C451" s="41" t="n"/>
      <c r="D451" s="41" t="n"/>
      <c r="E451" s="70" t="n"/>
      <c r="F451" s="71" t="n"/>
      <c r="G451" s="72" t="n"/>
      <c r="H451" s="73" t="n"/>
      <c r="I451" s="74">
        <f>IF(OR(E451="",F451=""),"",E451*F451)</f>
        <v/>
      </c>
      <c r="J451" s="75">
        <f>IF(I451="","",IF(D451="Buy",I451+N(G451),IF(D451="Sell",I451-N(G451),IF(D451="Dividend",I451-N(G451),I451+N(G451)))))</f>
        <v/>
      </c>
      <c r="K451" s="76">
        <f>IF(B451="","",DATE(YEAR(B451),MONTH(B451),1))</f>
        <v/>
      </c>
      <c r="L451" s="77">
        <f>IF(B451="","",YEAR(B451))</f>
        <v/>
      </c>
    </row>
    <row r="452" ht="19" customHeight="1">
      <c r="A452" s="69">
        <f>IF(B452="","",ROW()-5)</f>
        <v/>
      </c>
      <c r="B452" s="43" t="n"/>
      <c r="C452" s="41" t="n"/>
      <c r="D452" s="41" t="n"/>
      <c r="E452" s="70" t="n"/>
      <c r="F452" s="71" t="n"/>
      <c r="G452" s="72" t="n"/>
      <c r="H452" s="73" t="n"/>
      <c r="I452" s="74">
        <f>IF(OR(E452="",F452=""),"",E452*F452)</f>
        <v/>
      </c>
      <c r="J452" s="75">
        <f>IF(I452="","",IF(D452="Buy",I452+N(G452),IF(D452="Sell",I452-N(G452),IF(D452="Dividend",I452-N(G452),I452+N(G452)))))</f>
        <v/>
      </c>
      <c r="K452" s="76">
        <f>IF(B452="","",DATE(YEAR(B452),MONTH(B452),1))</f>
        <v/>
      </c>
      <c r="L452" s="77">
        <f>IF(B452="","",YEAR(B452))</f>
        <v/>
      </c>
    </row>
    <row r="453" ht="19" customHeight="1">
      <c r="A453" s="69">
        <f>IF(B453="","",ROW()-5)</f>
        <v/>
      </c>
      <c r="B453" s="43" t="n"/>
      <c r="C453" s="41" t="n"/>
      <c r="D453" s="41" t="n"/>
      <c r="E453" s="70" t="n"/>
      <c r="F453" s="71" t="n"/>
      <c r="G453" s="72" t="n"/>
      <c r="H453" s="73" t="n"/>
      <c r="I453" s="74">
        <f>IF(OR(E453="",F453=""),"",E453*F453)</f>
        <v/>
      </c>
      <c r="J453" s="75">
        <f>IF(I453="","",IF(D453="Buy",I453+N(G453),IF(D453="Sell",I453-N(G453),IF(D453="Dividend",I453-N(G453),I453+N(G453)))))</f>
        <v/>
      </c>
      <c r="K453" s="76">
        <f>IF(B453="","",DATE(YEAR(B453),MONTH(B453),1))</f>
        <v/>
      </c>
      <c r="L453" s="77">
        <f>IF(B453="","",YEAR(B453))</f>
        <v/>
      </c>
    </row>
    <row r="454" ht="19" customHeight="1">
      <c r="A454" s="69">
        <f>IF(B454="","",ROW()-5)</f>
        <v/>
      </c>
      <c r="B454" s="43" t="n"/>
      <c r="C454" s="41" t="n"/>
      <c r="D454" s="41" t="n"/>
      <c r="E454" s="70" t="n"/>
      <c r="F454" s="71" t="n"/>
      <c r="G454" s="72" t="n"/>
      <c r="H454" s="73" t="n"/>
      <c r="I454" s="74">
        <f>IF(OR(E454="",F454=""),"",E454*F454)</f>
        <v/>
      </c>
      <c r="J454" s="75">
        <f>IF(I454="","",IF(D454="Buy",I454+N(G454),IF(D454="Sell",I454-N(G454),IF(D454="Dividend",I454-N(G454),I454+N(G454)))))</f>
        <v/>
      </c>
      <c r="K454" s="76">
        <f>IF(B454="","",DATE(YEAR(B454),MONTH(B454),1))</f>
        <v/>
      </c>
      <c r="L454" s="77">
        <f>IF(B454="","",YEAR(B454))</f>
        <v/>
      </c>
    </row>
    <row r="455" ht="19" customHeight="1">
      <c r="A455" s="69">
        <f>IF(B455="","",ROW()-5)</f>
        <v/>
      </c>
      <c r="B455" s="43" t="n"/>
      <c r="C455" s="41" t="n"/>
      <c r="D455" s="41" t="n"/>
      <c r="E455" s="70" t="n"/>
      <c r="F455" s="71" t="n"/>
      <c r="G455" s="72" t="n"/>
      <c r="H455" s="73" t="n"/>
      <c r="I455" s="74">
        <f>IF(OR(E455="",F455=""),"",E455*F455)</f>
        <v/>
      </c>
      <c r="J455" s="75">
        <f>IF(I455="","",IF(D455="Buy",I455+N(G455),IF(D455="Sell",I455-N(G455),IF(D455="Dividend",I455-N(G455),I455+N(G455)))))</f>
        <v/>
      </c>
      <c r="K455" s="76">
        <f>IF(B455="","",DATE(YEAR(B455),MONTH(B455),1))</f>
        <v/>
      </c>
      <c r="L455" s="77">
        <f>IF(B455="","",YEAR(B455))</f>
        <v/>
      </c>
    </row>
    <row r="456" ht="19" customHeight="1">
      <c r="A456" s="69">
        <f>IF(B456="","",ROW()-5)</f>
        <v/>
      </c>
      <c r="B456" s="43" t="n"/>
      <c r="C456" s="41" t="n"/>
      <c r="D456" s="41" t="n"/>
      <c r="E456" s="70" t="n"/>
      <c r="F456" s="71" t="n"/>
      <c r="G456" s="72" t="n"/>
      <c r="H456" s="73" t="n"/>
      <c r="I456" s="74">
        <f>IF(OR(E456="",F456=""),"",E456*F456)</f>
        <v/>
      </c>
      <c r="J456" s="75">
        <f>IF(I456="","",IF(D456="Buy",I456+N(G456),IF(D456="Sell",I456-N(G456),IF(D456="Dividend",I456-N(G456),I456+N(G456)))))</f>
        <v/>
      </c>
      <c r="K456" s="76">
        <f>IF(B456="","",DATE(YEAR(B456),MONTH(B456),1))</f>
        <v/>
      </c>
      <c r="L456" s="77">
        <f>IF(B456="","",YEAR(B456))</f>
        <v/>
      </c>
    </row>
    <row r="457" ht="19" customHeight="1">
      <c r="A457" s="69">
        <f>IF(B457="","",ROW()-5)</f>
        <v/>
      </c>
      <c r="B457" s="43" t="n"/>
      <c r="C457" s="41" t="n"/>
      <c r="D457" s="41" t="n"/>
      <c r="E457" s="70" t="n"/>
      <c r="F457" s="71" t="n"/>
      <c r="G457" s="72" t="n"/>
      <c r="H457" s="73" t="n"/>
      <c r="I457" s="74">
        <f>IF(OR(E457="",F457=""),"",E457*F457)</f>
        <v/>
      </c>
      <c r="J457" s="75">
        <f>IF(I457="","",IF(D457="Buy",I457+N(G457),IF(D457="Sell",I457-N(G457),IF(D457="Dividend",I457-N(G457),I457+N(G457)))))</f>
        <v/>
      </c>
      <c r="K457" s="76">
        <f>IF(B457="","",DATE(YEAR(B457),MONTH(B457),1))</f>
        <v/>
      </c>
      <c r="L457" s="77">
        <f>IF(B457="","",YEAR(B457))</f>
        <v/>
      </c>
    </row>
    <row r="458" ht="19" customHeight="1">
      <c r="A458" s="69">
        <f>IF(B458="","",ROW()-5)</f>
        <v/>
      </c>
      <c r="B458" s="43" t="n"/>
      <c r="C458" s="41" t="n"/>
      <c r="D458" s="41" t="n"/>
      <c r="E458" s="70" t="n"/>
      <c r="F458" s="71" t="n"/>
      <c r="G458" s="72" t="n"/>
      <c r="H458" s="73" t="n"/>
      <c r="I458" s="74">
        <f>IF(OR(E458="",F458=""),"",E458*F458)</f>
        <v/>
      </c>
      <c r="J458" s="75">
        <f>IF(I458="","",IF(D458="Buy",I458+N(G458),IF(D458="Sell",I458-N(G458),IF(D458="Dividend",I458-N(G458),I458+N(G458)))))</f>
        <v/>
      </c>
      <c r="K458" s="76">
        <f>IF(B458="","",DATE(YEAR(B458),MONTH(B458),1))</f>
        <v/>
      </c>
      <c r="L458" s="77">
        <f>IF(B458="","",YEAR(B458))</f>
        <v/>
      </c>
    </row>
    <row r="459" ht="19" customHeight="1">
      <c r="A459" s="69">
        <f>IF(B459="","",ROW()-5)</f>
        <v/>
      </c>
      <c r="B459" s="43" t="n"/>
      <c r="C459" s="41" t="n"/>
      <c r="D459" s="41" t="n"/>
      <c r="E459" s="70" t="n"/>
      <c r="F459" s="71" t="n"/>
      <c r="G459" s="72" t="n"/>
      <c r="H459" s="73" t="n"/>
      <c r="I459" s="74">
        <f>IF(OR(E459="",F459=""),"",E459*F459)</f>
        <v/>
      </c>
      <c r="J459" s="75">
        <f>IF(I459="","",IF(D459="Buy",I459+N(G459),IF(D459="Sell",I459-N(G459),IF(D459="Dividend",I459-N(G459),I459+N(G459)))))</f>
        <v/>
      </c>
      <c r="K459" s="76">
        <f>IF(B459="","",DATE(YEAR(B459),MONTH(B459),1))</f>
        <v/>
      </c>
      <c r="L459" s="77">
        <f>IF(B459="","",YEAR(B459))</f>
        <v/>
      </c>
    </row>
    <row r="460" ht="19" customHeight="1">
      <c r="A460" s="69">
        <f>IF(B460="","",ROW()-5)</f>
        <v/>
      </c>
      <c r="B460" s="43" t="n"/>
      <c r="C460" s="41" t="n"/>
      <c r="D460" s="41" t="n"/>
      <c r="E460" s="70" t="n"/>
      <c r="F460" s="71" t="n"/>
      <c r="G460" s="72" t="n"/>
      <c r="H460" s="73" t="n"/>
      <c r="I460" s="74">
        <f>IF(OR(E460="",F460=""),"",E460*F460)</f>
        <v/>
      </c>
      <c r="J460" s="75">
        <f>IF(I460="","",IF(D460="Buy",I460+N(G460),IF(D460="Sell",I460-N(G460),IF(D460="Dividend",I460-N(G460),I460+N(G460)))))</f>
        <v/>
      </c>
      <c r="K460" s="76">
        <f>IF(B460="","",DATE(YEAR(B460),MONTH(B460),1))</f>
        <v/>
      </c>
      <c r="L460" s="77">
        <f>IF(B460="","",YEAR(B460))</f>
        <v/>
      </c>
    </row>
    <row r="461" ht="19" customHeight="1">
      <c r="A461" s="69">
        <f>IF(B461="","",ROW()-5)</f>
        <v/>
      </c>
      <c r="B461" s="43" t="n"/>
      <c r="C461" s="41" t="n"/>
      <c r="D461" s="41" t="n"/>
      <c r="E461" s="70" t="n"/>
      <c r="F461" s="71" t="n"/>
      <c r="G461" s="72" t="n"/>
      <c r="H461" s="73" t="n"/>
      <c r="I461" s="74">
        <f>IF(OR(E461="",F461=""),"",E461*F461)</f>
        <v/>
      </c>
      <c r="J461" s="75">
        <f>IF(I461="","",IF(D461="Buy",I461+N(G461),IF(D461="Sell",I461-N(G461),IF(D461="Dividend",I461-N(G461),I461+N(G461)))))</f>
        <v/>
      </c>
      <c r="K461" s="76">
        <f>IF(B461="","",DATE(YEAR(B461),MONTH(B461),1))</f>
        <v/>
      </c>
      <c r="L461" s="77">
        <f>IF(B461="","",YEAR(B461))</f>
        <v/>
      </c>
    </row>
    <row r="462" ht="19" customHeight="1">
      <c r="A462" s="69">
        <f>IF(B462="","",ROW()-5)</f>
        <v/>
      </c>
      <c r="B462" s="43" t="n"/>
      <c r="C462" s="41" t="n"/>
      <c r="D462" s="41" t="n"/>
      <c r="E462" s="70" t="n"/>
      <c r="F462" s="71" t="n"/>
      <c r="G462" s="72" t="n"/>
      <c r="H462" s="73" t="n"/>
      <c r="I462" s="74">
        <f>IF(OR(E462="",F462=""),"",E462*F462)</f>
        <v/>
      </c>
      <c r="J462" s="75">
        <f>IF(I462="","",IF(D462="Buy",I462+N(G462),IF(D462="Sell",I462-N(G462),IF(D462="Dividend",I462-N(G462),I462+N(G462)))))</f>
        <v/>
      </c>
      <c r="K462" s="76">
        <f>IF(B462="","",DATE(YEAR(B462),MONTH(B462),1))</f>
        <v/>
      </c>
      <c r="L462" s="77">
        <f>IF(B462="","",YEAR(B462))</f>
        <v/>
      </c>
    </row>
    <row r="463" ht="19" customHeight="1">
      <c r="A463" s="69">
        <f>IF(B463="","",ROW()-5)</f>
        <v/>
      </c>
      <c r="B463" s="43" t="n"/>
      <c r="C463" s="41" t="n"/>
      <c r="D463" s="41" t="n"/>
      <c r="E463" s="70" t="n"/>
      <c r="F463" s="71" t="n"/>
      <c r="G463" s="72" t="n"/>
      <c r="H463" s="73" t="n"/>
      <c r="I463" s="74">
        <f>IF(OR(E463="",F463=""),"",E463*F463)</f>
        <v/>
      </c>
      <c r="J463" s="75">
        <f>IF(I463="","",IF(D463="Buy",I463+N(G463),IF(D463="Sell",I463-N(G463),IF(D463="Dividend",I463-N(G463),I463+N(G463)))))</f>
        <v/>
      </c>
      <c r="K463" s="76">
        <f>IF(B463="","",DATE(YEAR(B463),MONTH(B463),1))</f>
        <v/>
      </c>
      <c r="L463" s="77">
        <f>IF(B463="","",YEAR(B463))</f>
        <v/>
      </c>
    </row>
    <row r="464" ht="19" customHeight="1">
      <c r="A464" s="69">
        <f>IF(B464="","",ROW()-5)</f>
        <v/>
      </c>
      <c r="B464" s="43" t="n"/>
      <c r="C464" s="41" t="n"/>
      <c r="D464" s="41" t="n"/>
      <c r="E464" s="70" t="n"/>
      <c r="F464" s="71" t="n"/>
      <c r="G464" s="72" t="n"/>
      <c r="H464" s="73" t="n"/>
      <c r="I464" s="74">
        <f>IF(OR(E464="",F464=""),"",E464*F464)</f>
        <v/>
      </c>
      <c r="J464" s="75">
        <f>IF(I464="","",IF(D464="Buy",I464+N(G464),IF(D464="Sell",I464-N(G464),IF(D464="Dividend",I464-N(G464),I464+N(G464)))))</f>
        <v/>
      </c>
      <c r="K464" s="76">
        <f>IF(B464="","",DATE(YEAR(B464),MONTH(B464),1))</f>
        <v/>
      </c>
      <c r="L464" s="77">
        <f>IF(B464="","",YEAR(B464))</f>
        <v/>
      </c>
    </row>
    <row r="465" ht="19" customHeight="1">
      <c r="A465" s="69">
        <f>IF(B465="","",ROW()-5)</f>
        <v/>
      </c>
      <c r="B465" s="43" t="n"/>
      <c r="C465" s="41" t="n"/>
      <c r="D465" s="41" t="n"/>
      <c r="E465" s="70" t="n"/>
      <c r="F465" s="71" t="n"/>
      <c r="G465" s="72" t="n"/>
      <c r="H465" s="73" t="n"/>
      <c r="I465" s="74">
        <f>IF(OR(E465="",F465=""),"",E465*F465)</f>
        <v/>
      </c>
      <c r="J465" s="75">
        <f>IF(I465="","",IF(D465="Buy",I465+N(G465),IF(D465="Sell",I465-N(G465),IF(D465="Dividend",I465-N(G465),I465+N(G465)))))</f>
        <v/>
      </c>
      <c r="K465" s="76">
        <f>IF(B465="","",DATE(YEAR(B465),MONTH(B465),1))</f>
        <v/>
      </c>
      <c r="L465" s="77">
        <f>IF(B465="","",YEAR(B465))</f>
        <v/>
      </c>
    </row>
    <row r="466" ht="19" customHeight="1">
      <c r="A466" s="69">
        <f>IF(B466="","",ROW()-5)</f>
        <v/>
      </c>
      <c r="B466" s="43" t="n"/>
      <c r="C466" s="41" t="n"/>
      <c r="D466" s="41" t="n"/>
      <c r="E466" s="70" t="n"/>
      <c r="F466" s="71" t="n"/>
      <c r="G466" s="72" t="n"/>
      <c r="H466" s="73" t="n"/>
      <c r="I466" s="74">
        <f>IF(OR(E466="",F466=""),"",E466*F466)</f>
        <v/>
      </c>
      <c r="J466" s="75">
        <f>IF(I466="","",IF(D466="Buy",I466+N(G466),IF(D466="Sell",I466-N(G466),IF(D466="Dividend",I466-N(G466),I466+N(G466)))))</f>
        <v/>
      </c>
      <c r="K466" s="76">
        <f>IF(B466="","",DATE(YEAR(B466),MONTH(B466),1))</f>
        <v/>
      </c>
      <c r="L466" s="77">
        <f>IF(B466="","",YEAR(B466))</f>
        <v/>
      </c>
    </row>
    <row r="467" ht="19" customHeight="1">
      <c r="A467" s="69">
        <f>IF(B467="","",ROW()-5)</f>
        <v/>
      </c>
      <c r="B467" s="43" t="n"/>
      <c r="C467" s="41" t="n"/>
      <c r="D467" s="41" t="n"/>
      <c r="E467" s="70" t="n"/>
      <c r="F467" s="71" t="n"/>
      <c r="G467" s="72" t="n"/>
      <c r="H467" s="73" t="n"/>
      <c r="I467" s="74">
        <f>IF(OR(E467="",F467=""),"",E467*F467)</f>
        <v/>
      </c>
      <c r="J467" s="75">
        <f>IF(I467="","",IF(D467="Buy",I467+N(G467),IF(D467="Sell",I467-N(G467),IF(D467="Dividend",I467-N(G467),I467+N(G467)))))</f>
        <v/>
      </c>
      <c r="K467" s="76">
        <f>IF(B467="","",DATE(YEAR(B467),MONTH(B467),1))</f>
        <v/>
      </c>
      <c r="L467" s="77">
        <f>IF(B467="","",YEAR(B467))</f>
        <v/>
      </c>
    </row>
    <row r="468" ht="19" customHeight="1">
      <c r="A468" s="69">
        <f>IF(B468="","",ROW()-5)</f>
        <v/>
      </c>
      <c r="B468" s="43" t="n"/>
      <c r="C468" s="41" t="n"/>
      <c r="D468" s="41" t="n"/>
      <c r="E468" s="70" t="n"/>
      <c r="F468" s="71" t="n"/>
      <c r="G468" s="72" t="n"/>
      <c r="H468" s="73" t="n"/>
      <c r="I468" s="74">
        <f>IF(OR(E468="",F468=""),"",E468*F468)</f>
        <v/>
      </c>
      <c r="J468" s="75">
        <f>IF(I468="","",IF(D468="Buy",I468+N(G468),IF(D468="Sell",I468-N(G468),IF(D468="Dividend",I468-N(G468),I468+N(G468)))))</f>
        <v/>
      </c>
      <c r="K468" s="76">
        <f>IF(B468="","",DATE(YEAR(B468),MONTH(B468),1))</f>
        <v/>
      </c>
      <c r="L468" s="77">
        <f>IF(B468="","",YEAR(B468))</f>
        <v/>
      </c>
    </row>
    <row r="469" ht="19" customHeight="1">
      <c r="A469" s="69">
        <f>IF(B469="","",ROW()-5)</f>
        <v/>
      </c>
      <c r="B469" s="43" t="n"/>
      <c r="C469" s="41" t="n"/>
      <c r="D469" s="41" t="n"/>
      <c r="E469" s="70" t="n"/>
      <c r="F469" s="71" t="n"/>
      <c r="G469" s="72" t="n"/>
      <c r="H469" s="73" t="n"/>
      <c r="I469" s="74">
        <f>IF(OR(E469="",F469=""),"",E469*F469)</f>
        <v/>
      </c>
      <c r="J469" s="75">
        <f>IF(I469="","",IF(D469="Buy",I469+N(G469),IF(D469="Sell",I469-N(G469),IF(D469="Dividend",I469-N(G469),I469+N(G469)))))</f>
        <v/>
      </c>
      <c r="K469" s="76">
        <f>IF(B469="","",DATE(YEAR(B469),MONTH(B469),1))</f>
        <v/>
      </c>
      <c r="L469" s="77">
        <f>IF(B469="","",YEAR(B469))</f>
        <v/>
      </c>
    </row>
    <row r="470" ht="19" customHeight="1">
      <c r="A470" s="69">
        <f>IF(B470="","",ROW()-5)</f>
        <v/>
      </c>
      <c r="B470" s="43" t="n"/>
      <c r="C470" s="41" t="n"/>
      <c r="D470" s="41" t="n"/>
      <c r="E470" s="70" t="n"/>
      <c r="F470" s="71" t="n"/>
      <c r="G470" s="72" t="n"/>
      <c r="H470" s="73" t="n"/>
      <c r="I470" s="74">
        <f>IF(OR(E470="",F470=""),"",E470*F470)</f>
        <v/>
      </c>
      <c r="J470" s="75">
        <f>IF(I470="","",IF(D470="Buy",I470+N(G470),IF(D470="Sell",I470-N(G470),IF(D470="Dividend",I470-N(G470),I470+N(G470)))))</f>
        <v/>
      </c>
      <c r="K470" s="76">
        <f>IF(B470="","",DATE(YEAR(B470),MONTH(B470),1))</f>
        <v/>
      </c>
      <c r="L470" s="77">
        <f>IF(B470="","",YEAR(B470))</f>
        <v/>
      </c>
    </row>
    <row r="471" ht="19" customHeight="1">
      <c r="A471" s="69">
        <f>IF(B471="","",ROW()-5)</f>
        <v/>
      </c>
      <c r="B471" s="43" t="n"/>
      <c r="C471" s="41" t="n"/>
      <c r="D471" s="41" t="n"/>
      <c r="E471" s="70" t="n"/>
      <c r="F471" s="71" t="n"/>
      <c r="G471" s="72" t="n"/>
      <c r="H471" s="73" t="n"/>
      <c r="I471" s="74">
        <f>IF(OR(E471="",F471=""),"",E471*F471)</f>
        <v/>
      </c>
      <c r="J471" s="75">
        <f>IF(I471="","",IF(D471="Buy",I471+N(G471),IF(D471="Sell",I471-N(G471),IF(D471="Dividend",I471-N(G471),I471+N(G471)))))</f>
        <v/>
      </c>
      <c r="K471" s="76">
        <f>IF(B471="","",DATE(YEAR(B471),MONTH(B471),1))</f>
        <v/>
      </c>
      <c r="L471" s="77">
        <f>IF(B471="","",YEAR(B471))</f>
        <v/>
      </c>
    </row>
    <row r="472" ht="19" customHeight="1">
      <c r="A472" s="69">
        <f>IF(B472="","",ROW()-5)</f>
        <v/>
      </c>
      <c r="B472" s="43" t="n"/>
      <c r="C472" s="41" t="n"/>
      <c r="D472" s="41" t="n"/>
      <c r="E472" s="70" t="n"/>
      <c r="F472" s="71" t="n"/>
      <c r="G472" s="72" t="n"/>
      <c r="H472" s="73" t="n"/>
      <c r="I472" s="74">
        <f>IF(OR(E472="",F472=""),"",E472*F472)</f>
        <v/>
      </c>
      <c r="J472" s="75">
        <f>IF(I472="","",IF(D472="Buy",I472+N(G472),IF(D472="Sell",I472-N(G472),IF(D472="Dividend",I472-N(G472),I472+N(G472)))))</f>
        <v/>
      </c>
      <c r="K472" s="76">
        <f>IF(B472="","",DATE(YEAR(B472),MONTH(B472),1))</f>
        <v/>
      </c>
      <c r="L472" s="77">
        <f>IF(B472="","",YEAR(B472))</f>
        <v/>
      </c>
    </row>
    <row r="473" ht="19" customHeight="1">
      <c r="A473" s="69">
        <f>IF(B473="","",ROW()-5)</f>
        <v/>
      </c>
      <c r="B473" s="43" t="n"/>
      <c r="C473" s="41" t="n"/>
      <c r="D473" s="41" t="n"/>
      <c r="E473" s="70" t="n"/>
      <c r="F473" s="71" t="n"/>
      <c r="G473" s="72" t="n"/>
      <c r="H473" s="73" t="n"/>
      <c r="I473" s="74">
        <f>IF(OR(E473="",F473=""),"",E473*F473)</f>
        <v/>
      </c>
      <c r="J473" s="75">
        <f>IF(I473="","",IF(D473="Buy",I473+N(G473),IF(D473="Sell",I473-N(G473),IF(D473="Dividend",I473-N(G473),I473+N(G473)))))</f>
        <v/>
      </c>
      <c r="K473" s="76">
        <f>IF(B473="","",DATE(YEAR(B473),MONTH(B473),1))</f>
        <v/>
      </c>
      <c r="L473" s="77">
        <f>IF(B473="","",YEAR(B473))</f>
        <v/>
      </c>
    </row>
    <row r="474" ht="19" customHeight="1">
      <c r="A474" s="69">
        <f>IF(B474="","",ROW()-5)</f>
        <v/>
      </c>
      <c r="B474" s="43" t="n"/>
      <c r="C474" s="41" t="n"/>
      <c r="D474" s="41" t="n"/>
      <c r="E474" s="70" t="n"/>
      <c r="F474" s="71" t="n"/>
      <c r="G474" s="72" t="n"/>
      <c r="H474" s="73" t="n"/>
      <c r="I474" s="74">
        <f>IF(OR(E474="",F474=""),"",E474*F474)</f>
        <v/>
      </c>
      <c r="J474" s="75">
        <f>IF(I474="","",IF(D474="Buy",I474+N(G474),IF(D474="Sell",I474-N(G474),IF(D474="Dividend",I474-N(G474),I474+N(G474)))))</f>
        <v/>
      </c>
      <c r="K474" s="76">
        <f>IF(B474="","",DATE(YEAR(B474),MONTH(B474),1))</f>
        <v/>
      </c>
      <c r="L474" s="77">
        <f>IF(B474="","",YEAR(B474))</f>
        <v/>
      </c>
    </row>
    <row r="475" ht="19" customHeight="1">
      <c r="A475" s="69">
        <f>IF(B475="","",ROW()-5)</f>
        <v/>
      </c>
      <c r="B475" s="43" t="n"/>
      <c r="C475" s="41" t="n"/>
      <c r="D475" s="41" t="n"/>
      <c r="E475" s="70" t="n"/>
      <c r="F475" s="71" t="n"/>
      <c r="G475" s="72" t="n"/>
      <c r="H475" s="73" t="n"/>
      <c r="I475" s="74">
        <f>IF(OR(E475="",F475=""),"",E475*F475)</f>
        <v/>
      </c>
      <c r="J475" s="75">
        <f>IF(I475="","",IF(D475="Buy",I475+N(G475),IF(D475="Sell",I475-N(G475),IF(D475="Dividend",I475-N(G475),I475+N(G475)))))</f>
        <v/>
      </c>
      <c r="K475" s="76">
        <f>IF(B475="","",DATE(YEAR(B475),MONTH(B475),1))</f>
        <v/>
      </c>
      <c r="L475" s="77">
        <f>IF(B475="","",YEAR(B475))</f>
        <v/>
      </c>
    </row>
    <row r="476" ht="19" customHeight="1">
      <c r="A476" s="69">
        <f>IF(B476="","",ROW()-5)</f>
        <v/>
      </c>
      <c r="B476" s="43" t="n"/>
      <c r="C476" s="41" t="n"/>
      <c r="D476" s="41" t="n"/>
      <c r="E476" s="70" t="n"/>
      <c r="F476" s="71" t="n"/>
      <c r="G476" s="72" t="n"/>
      <c r="H476" s="73" t="n"/>
      <c r="I476" s="74">
        <f>IF(OR(E476="",F476=""),"",E476*F476)</f>
        <v/>
      </c>
      <c r="J476" s="75">
        <f>IF(I476="","",IF(D476="Buy",I476+N(G476),IF(D476="Sell",I476-N(G476),IF(D476="Dividend",I476-N(G476),I476+N(G476)))))</f>
        <v/>
      </c>
      <c r="K476" s="76">
        <f>IF(B476="","",DATE(YEAR(B476),MONTH(B476),1))</f>
        <v/>
      </c>
      <c r="L476" s="77">
        <f>IF(B476="","",YEAR(B476))</f>
        <v/>
      </c>
    </row>
    <row r="477" ht="19" customHeight="1">
      <c r="A477" s="69">
        <f>IF(B477="","",ROW()-5)</f>
        <v/>
      </c>
      <c r="B477" s="43" t="n"/>
      <c r="C477" s="41" t="n"/>
      <c r="D477" s="41" t="n"/>
      <c r="E477" s="70" t="n"/>
      <c r="F477" s="71" t="n"/>
      <c r="G477" s="72" t="n"/>
      <c r="H477" s="73" t="n"/>
      <c r="I477" s="74">
        <f>IF(OR(E477="",F477=""),"",E477*F477)</f>
        <v/>
      </c>
      <c r="J477" s="75">
        <f>IF(I477="","",IF(D477="Buy",I477+N(G477),IF(D477="Sell",I477-N(G477),IF(D477="Dividend",I477-N(G477),I477+N(G477)))))</f>
        <v/>
      </c>
      <c r="K477" s="76">
        <f>IF(B477="","",DATE(YEAR(B477),MONTH(B477),1))</f>
        <v/>
      </c>
      <c r="L477" s="77">
        <f>IF(B477="","",YEAR(B477))</f>
        <v/>
      </c>
    </row>
    <row r="478" ht="19" customHeight="1">
      <c r="A478" s="69">
        <f>IF(B478="","",ROW()-5)</f>
        <v/>
      </c>
      <c r="B478" s="43" t="n"/>
      <c r="C478" s="41" t="n"/>
      <c r="D478" s="41" t="n"/>
      <c r="E478" s="70" t="n"/>
      <c r="F478" s="71" t="n"/>
      <c r="G478" s="72" t="n"/>
      <c r="H478" s="73" t="n"/>
      <c r="I478" s="74">
        <f>IF(OR(E478="",F478=""),"",E478*F478)</f>
        <v/>
      </c>
      <c r="J478" s="75">
        <f>IF(I478="","",IF(D478="Buy",I478+N(G478),IF(D478="Sell",I478-N(G478),IF(D478="Dividend",I478-N(G478),I478+N(G478)))))</f>
        <v/>
      </c>
      <c r="K478" s="76">
        <f>IF(B478="","",DATE(YEAR(B478),MONTH(B478),1))</f>
        <v/>
      </c>
      <c r="L478" s="77">
        <f>IF(B478="","",YEAR(B478))</f>
        <v/>
      </c>
    </row>
    <row r="479" ht="19" customHeight="1">
      <c r="A479" s="69">
        <f>IF(B479="","",ROW()-5)</f>
        <v/>
      </c>
      <c r="B479" s="43" t="n"/>
      <c r="C479" s="41" t="n"/>
      <c r="D479" s="41" t="n"/>
      <c r="E479" s="70" t="n"/>
      <c r="F479" s="71" t="n"/>
      <c r="G479" s="72" t="n"/>
      <c r="H479" s="73" t="n"/>
      <c r="I479" s="74">
        <f>IF(OR(E479="",F479=""),"",E479*F479)</f>
        <v/>
      </c>
      <c r="J479" s="75">
        <f>IF(I479="","",IF(D479="Buy",I479+N(G479),IF(D479="Sell",I479-N(G479),IF(D479="Dividend",I479-N(G479),I479+N(G479)))))</f>
        <v/>
      </c>
      <c r="K479" s="76">
        <f>IF(B479="","",DATE(YEAR(B479),MONTH(B479),1))</f>
        <v/>
      </c>
      <c r="L479" s="77">
        <f>IF(B479="","",YEAR(B479))</f>
        <v/>
      </c>
    </row>
    <row r="480" ht="19" customHeight="1">
      <c r="A480" s="69">
        <f>IF(B480="","",ROW()-5)</f>
        <v/>
      </c>
      <c r="B480" s="43" t="n"/>
      <c r="C480" s="41" t="n"/>
      <c r="D480" s="41" t="n"/>
      <c r="E480" s="70" t="n"/>
      <c r="F480" s="71" t="n"/>
      <c r="G480" s="72" t="n"/>
      <c r="H480" s="73" t="n"/>
      <c r="I480" s="74">
        <f>IF(OR(E480="",F480=""),"",E480*F480)</f>
        <v/>
      </c>
      <c r="J480" s="75">
        <f>IF(I480="","",IF(D480="Buy",I480+N(G480),IF(D480="Sell",I480-N(G480),IF(D480="Dividend",I480-N(G480),I480+N(G480)))))</f>
        <v/>
      </c>
      <c r="K480" s="76">
        <f>IF(B480="","",DATE(YEAR(B480),MONTH(B480),1))</f>
        <v/>
      </c>
      <c r="L480" s="77">
        <f>IF(B480="","",YEAR(B480))</f>
        <v/>
      </c>
    </row>
    <row r="481" ht="19" customHeight="1">
      <c r="A481" s="69">
        <f>IF(B481="","",ROW()-5)</f>
        <v/>
      </c>
      <c r="B481" s="43" t="n"/>
      <c r="C481" s="41" t="n"/>
      <c r="D481" s="41" t="n"/>
      <c r="E481" s="70" t="n"/>
      <c r="F481" s="71" t="n"/>
      <c r="G481" s="72" t="n"/>
      <c r="H481" s="73" t="n"/>
      <c r="I481" s="74">
        <f>IF(OR(E481="",F481=""),"",E481*F481)</f>
        <v/>
      </c>
      <c r="J481" s="75">
        <f>IF(I481="","",IF(D481="Buy",I481+N(G481),IF(D481="Sell",I481-N(G481),IF(D481="Dividend",I481-N(G481),I481+N(G481)))))</f>
        <v/>
      </c>
      <c r="K481" s="76">
        <f>IF(B481="","",DATE(YEAR(B481),MONTH(B481),1))</f>
        <v/>
      </c>
      <c r="L481" s="77">
        <f>IF(B481="","",YEAR(B481))</f>
        <v/>
      </c>
    </row>
    <row r="482" ht="19" customHeight="1">
      <c r="A482" s="69">
        <f>IF(B482="","",ROW()-5)</f>
        <v/>
      </c>
      <c r="B482" s="43" t="n"/>
      <c r="C482" s="41" t="n"/>
      <c r="D482" s="41" t="n"/>
      <c r="E482" s="70" t="n"/>
      <c r="F482" s="71" t="n"/>
      <c r="G482" s="72" t="n"/>
      <c r="H482" s="73" t="n"/>
      <c r="I482" s="74">
        <f>IF(OR(E482="",F482=""),"",E482*F482)</f>
        <v/>
      </c>
      <c r="J482" s="75">
        <f>IF(I482="","",IF(D482="Buy",I482+N(G482),IF(D482="Sell",I482-N(G482),IF(D482="Dividend",I482-N(G482),I482+N(G482)))))</f>
        <v/>
      </c>
      <c r="K482" s="76">
        <f>IF(B482="","",DATE(YEAR(B482),MONTH(B482),1))</f>
        <v/>
      </c>
      <c r="L482" s="77">
        <f>IF(B482="","",YEAR(B482))</f>
        <v/>
      </c>
    </row>
    <row r="483" ht="19" customHeight="1">
      <c r="A483" s="69">
        <f>IF(B483="","",ROW()-5)</f>
        <v/>
      </c>
      <c r="B483" s="43" t="n"/>
      <c r="C483" s="41" t="n"/>
      <c r="D483" s="41" t="n"/>
      <c r="E483" s="70" t="n"/>
      <c r="F483" s="71" t="n"/>
      <c r="G483" s="72" t="n"/>
      <c r="H483" s="73" t="n"/>
      <c r="I483" s="74">
        <f>IF(OR(E483="",F483=""),"",E483*F483)</f>
        <v/>
      </c>
      <c r="J483" s="75">
        <f>IF(I483="","",IF(D483="Buy",I483+N(G483),IF(D483="Sell",I483-N(G483),IF(D483="Dividend",I483-N(G483),I483+N(G483)))))</f>
        <v/>
      </c>
      <c r="K483" s="76">
        <f>IF(B483="","",DATE(YEAR(B483),MONTH(B483),1))</f>
        <v/>
      </c>
      <c r="L483" s="77">
        <f>IF(B483="","",YEAR(B483))</f>
        <v/>
      </c>
    </row>
    <row r="484" ht="19" customHeight="1">
      <c r="A484" s="69">
        <f>IF(B484="","",ROW()-5)</f>
        <v/>
      </c>
      <c r="B484" s="43" t="n"/>
      <c r="C484" s="41" t="n"/>
      <c r="D484" s="41" t="n"/>
      <c r="E484" s="70" t="n"/>
      <c r="F484" s="71" t="n"/>
      <c r="G484" s="72" t="n"/>
      <c r="H484" s="73" t="n"/>
      <c r="I484" s="74">
        <f>IF(OR(E484="",F484=""),"",E484*F484)</f>
        <v/>
      </c>
      <c r="J484" s="75">
        <f>IF(I484="","",IF(D484="Buy",I484+N(G484),IF(D484="Sell",I484-N(G484),IF(D484="Dividend",I484-N(G484),I484+N(G484)))))</f>
        <v/>
      </c>
      <c r="K484" s="76">
        <f>IF(B484="","",DATE(YEAR(B484),MONTH(B484),1))</f>
        <v/>
      </c>
      <c r="L484" s="77">
        <f>IF(B484="","",YEAR(B484))</f>
        <v/>
      </c>
    </row>
    <row r="485" ht="19" customHeight="1">
      <c r="A485" s="69">
        <f>IF(B485="","",ROW()-5)</f>
        <v/>
      </c>
      <c r="B485" s="43" t="n"/>
      <c r="C485" s="41" t="n"/>
      <c r="D485" s="41" t="n"/>
      <c r="E485" s="70" t="n"/>
      <c r="F485" s="71" t="n"/>
      <c r="G485" s="72" t="n"/>
      <c r="H485" s="73" t="n"/>
      <c r="I485" s="74">
        <f>IF(OR(E485="",F485=""),"",E485*F485)</f>
        <v/>
      </c>
      <c r="J485" s="75">
        <f>IF(I485="","",IF(D485="Buy",I485+N(G485),IF(D485="Sell",I485-N(G485),IF(D485="Dividend",I485-N(G485),I485+N(G485)))))</f>
        <v/>
      </c>
      <c r="K485" s="76">
        <f>IF(B485="","",DATE(YEAR(B485),MONTH(B485),1))</f>
        <v/>
      </c>
      <c r="L485" s="77">
        <f>IF(B485="","",YEAR(B485))</f>
        <v/>
      </c>
    </row>
    <row r="486" ht="19" customHeight="1">
      <c r="A486" s="69">
        <f>IF(B486="","",ROW()-5)</f>
        <v/>
      </c>
      <c r="B486" s="43" t="n"/>
      <c r="C486" s="41" t="n"/>
      <c r="D486" s="41" t="n"/>
      <c r="E486" s="70" t="n"/>
      <c r="F486" s="71" t="n"/>
      <c r="G486" s="72" t="n"/>
      <c r="H486" s="73" t="n"/>
      <c r="I486" s="74">
        <f>IF(OR(E486="",F486=""),"",E486*F486)</f>
        <v/>
      </c>
      <c r="J486" s="75">
        <f>IF(I486="","",IF(D486="Buy",I486+N(G486),IF(D486="Sell",I486-N(G486),IF(D486="Dividend",I486-N(G486),I486+N(G486)))))</f>
        <v/>
      </c>
      <c r="K486" s="76">
        <f>IF(B486="","",DATE(YEAR(B486),MONTH(B486),1))</f>
        <v/>
      </c>
      <c r="L486" s="77">
        <f>IF(B486="","",YEAR(B486))</f>
        <v/>
      </c>
    </row>
    <row r="487" ht="19" customHeight="1">
      <c r="A487" s="69">
        <f>IF(B487="","",ROW()-5)</f>
        <v/>
      </c>
      <c r="B487" s="43" t="n"/>
      <c r="C487" s="41" t="n"/>
      <c r="D487" s="41" t="n"/>
      <c r="E487" s="70" t="n"/>
      <c r="F487" s="71" t="n"/>
      <c r="G487" s="72" t="n"/>
      <c r="H487" s="73" t="n"/>
      <c r="I487" s="74">
        <f>IF(OR(E487="",F487=""),"",E487*F487)</f>
        <v/>
      </c>
      <c r="J487" s="75">
        <f>IF(I487="","",IF(D487="Buy",I487+N(G487),IF(D487="Sell",I487-N(G487),IF(D487="Dividend",I487-N(G487),I487+N(G487)))))</f>
        <v/>
      </c>
      <c r="K487" s="76">
        <f>IF(B487="","",DATE(YEAR(B487),MONTH(B487),1))</f>
        <v/>
      </c>
      <c r="L487" s="77">
        <f>IF(B487="","",YEAR(B487))</f>
        <v/>
      </c>
    </row>
    <row r="488" ht="19" customHeight="1">
      <c r="A488" s="69">
        <f>IF(B488="","",ROW()-5)</f>
        <v/>
      </c>
      <c r="B488" s="43" t="n"/>
      <c r="C488" s="41" t="n"/>
      <c r="D488" s="41" t="n"/>
      <c r="E488" s="70" t="n"/>
      <c r="F488" s="71" t="n"/>
      <c r="G488" s="72" t="n"/>
      <c r="H488" s="73" t="n"/>
      <c r="I488" s="74">
        <f>IF(OR(E488="",F488=""),"",E488*F488)</f>
        <v/>
      </c>
      <c r="J488" s="75">
        <f>IF(I488="","",IF(D488="Buy",I488+N(G488),IF(D488="Sell",I488-N(G488),IF(D488="Dividend",I488-N(G488),I488+N(G488)))))</f>
        <v/>
      </c>
      <c r="K488" s="76">
        <f>IF(B488="","",DATE(YEAR(B488),MONTH(B488),1))</f>
        <v/>
      </c>
      <c r="L488" s="77">
        <f>IF(B488="","",YEAR(B488))</f>
        <v/>
      </c>
    </row>
    <row r="489" ht="19" customHeight="1">
      <c r="A489" s="69">
        <f>IF(B489="","",ROW()-5)</f>
        <v/>
      </c>
      <c r="B489" s="43" t="n"/>
      <c r="C489" s="41" t="n"/>
      <c r="D489" s="41" t="n"/>
      <c r="E489" s="70" t="n"/>
      <c r="F489" s="71" t="n"/>
      <c r="G489" s="72" t="n"/>
      <c r="H489" s="73" t="n"/>
      <c r="I489" s="74">
        <f>IF(OR(E489="",F489=""),"",E489*F489)</f>
        <v/>
      </c>
      <c r="J489" s="75">
        <f>IF(I489="","",IF(D489="Buy",I489+N(G489),IF(D489="Sell",I489-N(G489),IF(D489="Dividend",I489-N(G489),I489+N(G489)))))</f>
        <v/>
      </c>
      <c r="K489" s="76">
        <f>IF(B489="","",DATE(YEAR(B489),MONTH(B489),1))</f>
        <v/>
      </c>
      <c r="L489" s="77">
        <f>IF(B489="","",YEAR(B489))</f>
        <v/>
      </c>
    </row>
    <row r="490" ht="19" customHeight="1">
      <c r="A490" s="69">
        <f>IF(B490="","",ROW()-5)</f>
        <v/>
      </c>
      <c r="B490" s="43" t="n"/>
      <c r="C490" s="41" t="n"/>
      <c r="D490" s="41" t="n"/>
      <c r="E490" s="70" t="n"/>
      <c r="F490" s="71" t="n"/>
      <c r="G490" s="72" t="n"/>
      <c r="H490" s="73" t="n"/>
      <c r="I490" s="74">
        <f>IF(OR(E490="",F490=""),"",E490*F490)</f>
        <v/>
      </c>
      <c r="J490" s="75">
        <f>IF(I490="","",IF(D490="Buy",I490+N(G490),IF(D490="Sell",I490-N(G490),IF(D490="Dividend",I490-N(G490),I490+N(G490)))))</f>
        <v/>
      </c>
      <c r="K490" s="76">
        <f>IF(B490="","",DATE(YEAR(B490),MONTH(B490),1))</f>
        <v/>
      </c>
      <c r="L490" s="77">
        <f>IF(B490="","",YEAR(B490))</f>
        <v/>
      </c>
    </row>
    <row r="491" ht="19" customHeight="1">
      <c r="A491" s="69">
        <f>IF(B491="","",ROW()-5)</f>
        <v/>
      </c>
      <c r="B491" s="43" t="n"/>
      <c r="C491" s="41" t="n"/>
      <c r="D491" s="41" t="n"/>
      <c r="E491" s="70" t="n"/>
      <c r="F491" s="71" t="n"/>
      <c r="G491" s="72" t="n"/>
      <c r="H491" s="73" t="n"/>
      <c r="I491" s="74">
        <f>IF(OR(E491="",F491=""),"",E491*F491)</f>
        <v/>
      </c>
      <c r="J491" s="75">
        <f>IF(I491="","",IF(D491="Buy",I491+N(G491),IF(D491="Sell",I491-N(G491),IF(D491="Dividend",I491-N(G491),I491+N(G491)))))</f>
        <v/>
      </c>
      <c r="K491" s="76">
        <f>IF(B491="","",DATE(YEAR(B491),MONTH(B491),1))</f>
        <v/>
      </c>
      <c r="L491" s="77">
        <f>IF(B491="","",YEAR(B491))</f>
        <v/>
      </c>
    </row>
    <row r="492" ht="19" customHeight="1">
      <c r="A492" s="69">
        <f>IF(B492="","",ROW()-5)</f>
        <v/>
      </c>
      <c r="B492" s="43" t="n"/>
      <c r="C492" s="41" t="n"/>
      <c r="D492" s="41" t="n"/>
      <c r="E492" s="70" t="n"/>
      <c r="F492" s="71" t="n"/>
      <c r="G492" s="72" t="n"/>
      <c r="H492" s="73" t="n"/>
      <c r="I492" s="74">
        <f>IF(OR(E492="",F492=""),"",E492*F492)</f>
        <v/>
      </c>
      <c r="J492" s="75">
        <f>IF(I492="","",IF(D492="Buy",I492+N(G492),IF(D492="Sell",I492-N(G492),IF(D492="Dividend",I492-N(G492),I492+N(G492)))))</f>
        <v/>
      </c>
      <c r="K492" s="76">
        <f>IF(B492="","",DATE(YEAR(B492),MONTH(B492),1))</f>
        <v/>
      </c>
      <c r="L492" s="77">
        <f>IF(B492="","",YEAR(B492))</f>
        <v/>
      </c>
    </row>
    <row r="493" ht="19" customHeight="1">
      <c r="A493" s="69">
        <f>IF(B493="","",ROW()-5)</f>
        <v/>
      </c>
      <c r="B493" s="43" t="n"/>
      <c r="C493" s="41" t="n"/>
      <c r="D493" s="41" t="n"/>
      <c r="E493" s="70" t="n"/>
      <c r="F493" s="71" t="n"/>
      <c r="G493" s="72" t="n"/>
      <c r="H493" s="73" t="n"/>
      <c r="I493" s="74">
        <f>IF(OR(E493="",F493=""),"",E493*F493)</f>
        <v/>
      </c>
      <c r="J493" s="75">
        <f>IF(I493="","",IF(D493="Buy",I493+N(G493),IF(D493="Sell",I493-N(G493),IF(D493="Dividend",I493-N(G493),I493+N(G493)))))</f>
        <v/>
      </c>
      <c r="K493" s="76">
        <f>IF(B493="","",DATE(YEAR(B493),MONTH(B493),1))</f>
        <v/>
      </c>
      <c r="L493" s="77">
        <f>IF(B493="","",YEAR(B493))</f>
        <v/>
      </c>
    </row>
    <row r="494" ht="19" customHeight="1">
      <c r="A494" s="69">
        <f>IF(B494="","",ROW()-5)</f>
        <v/>
      </c>
      <c r="B494" s="43" t="n"/>
      <c r="C494" s="41" t="n"/>
      <c r="D494" s="41" t="n"/>
      <c r="E494" s="70" t="n"/>
      <c r="F494" s="71" t="n"/>
      <c r="G494" s="72" t="n"/>
      <c r="H494" s="73" t="n"/>
      <c r="I494" s="74">
        <f>IF(OR(E494="",F494=""),"",E494*F494)</f>
        <v/>
      </c>
      <c r="J494" s="75">
        <f>IF(I494="","",IF(D494="Buy",I494+N(G494),IF(D494="Sell",I494-N(G494),IF(D494="Dividend",I494-N(G494),I494+N(G494)))))</f>
        <v/>
      </c>
      <c r="K494" s="76">
        <f>IF(B494="","",DATE(YEAR(B494),MONTH(B494),1))</f>
        <v/>
      </c>
      <c r="L494" s="77">
        <f>IF(B494="","",YEAR(B494))</f>
        <v/>
      </c>
    </row>
    <row r="495" ht="19" customHeight="1">
      <c r="A495" s="69">
        <f>IF(B495="","",ROW()-5)</f>
        <v/>
      </c>
      <c r="B495" s="43" t="n"/>
      <c r="C495" s="41" t="n"/>
      <c r="D495" s="41" t="n"/>
      <c r="E495" s="70" t="n"/>
      <c r="F495" s="71" t="n"/>
      <c r="G495" s="72" t="n"/>
      <c r="H495" s="73" t="n"/>
      <c r="I495" s="74">
        <f>IF(OR(E495="",F495=""),"",E495*F495)</f>
        <v/>
      </c>
      <c r="J495" s="75">
        <f>IF(I495="","",IF(D495="Buy",I495+N(G495),IF(D495="Sell",I495-N(G495),IF(D495="Dividend",I495-N(G495),I495+N(G495)))))</f>
        <v/>
      </c>
      <c r="K495" s="76">
        <f>IF(B495="","",DATE(YEAR(B495),MONTH(B495),1))</f>
        <v/>
      </c>
      <c r="L495" s="77">
        <f>IF(B495="","",YEAR(B495))</f>
        <v/>
      </c>
    </row>
    <row r="496" ht="19" customHeight="1">
      <c r="A496" s="69">
        <f>IF(B496="","",ROW()-5)</f>
        <v/>
      </c>
      <c r="B496" s="43" t="n"/>
      <c r="C496" s="41" t="n"/>
      <c r="D496" s="41" t="n"/>
      <c r="E496" s="70" t="n"/>
      <c r="F496" s="71" t="n"/>
      <c r="G496" s="72" t="n"/>
      <c r="H496" s="73" t="n"/>
      <c r="I496" s="74">
        <f>IF(OR(E496="",F496=""),"",E496*F496)</f>
        <v/>
      </c>
      <c r="J496" s="75">
        <f>IF(I496="","",IF(D496="Buy",I496+N(G496),IF(D496="Sell",I496-N(G496),IF(D496="Dividend",I496-N(G496),I496+N(G496)))))</f>
        <v/>
      </c>
      <c r="K496" s="76">
        <f>IF(B496="","",DATE(YEAR(B496),MONTH(B496),1))</f>
        <v/>
      </c>
      <c r="L496" s="77">
        <f>IF(B496="","",YEAR(B496))</f>
        <v/>
      </c>
    </row>
    <row r="497" ht="19" customHeight="1">
      <c r="A497" s="69">
        <f>IF(B497="","",ROW()-5)</f>
        <v/>
      </c>
      <c r="B497" s="43" t="n"/>
      <c r="C497" s="41" t="n"/>
      <c r="D497" s="41" t="n"/>
      <c r="E497" s="70" t="n"/>
      <c r="F497" s="71" t="n"/>
      <c r="G497" s="72" t="n"/>
      <c r="H497" s="73" t="n"/>
      <c r="I497" s="74">
        <f>IF(OR(E497="",F497=""),"",E497*F497)</f>
        <v/>
      </c>
      <c r="J497" s="75">
        <f>IF(I497="","",IF(D497="Buy",I497+N(G497),IF(D497="Sell",I497-N(G497),IF(D497="Dividend",I497-N(G497),I497+N(G497)))))</f>
        <v/>
      </c>
      <c r="K497" s="76">
        <f>IF(B497="","",DATE(YEAR(B497),MONTH(B497),1))</f>
        <v/>
      </c>
      <c r="L497" s="77">
        <f>IF(B497="","",YEAR(B497))</f>
        <v/>
      </c>
    </row>
    <row r="498" ht="19" customHeight="1">
      <c r="A498" s="69">
        <f>IF(B498="","",ROW()-5)</f>
        <v/>
      </c>
      <c r="B498" s="43" t="n"/>
      <c r="C498" s="41" t="n"/>
      <c r="D498" s="41" t="n"/>
      <c r="E498" s="70" t="n"/>
      <c r="F498" s="71" t="n"/>
      <c r="G498" s="72" t="n"/>
      <c r="H498" s="73" t="n"/>
      <c r="I498" s="74">
        <f>IF(OR(E498="",F498=""),"",E498*F498)</f>
        <v/>
      </c>
      <c r="J498" s="75">
        <f>IF(I498="","",IF(D498="Buy",I498+N(G498),IF(D498="Sell",I498-N(G498),IF(D498="Dividend",I498-N(G498),I498+N(G498)))))</f>
        <v/>
      </c>
      <c r="K498" s="76">
        <f>IF(B498="","",DATE(YEAR(B498),MONTH(B498),1))</f>
        <v/>
      </c>
      <c r="L498" s="77">
        <f>IF(B498="","",YEAR(B498))</f>
        <v/>
      </c>
    </row>
    <row r="499" ht="19" customHeight="1">
      <c r="A499" s="69">
        <f>IF(B499="","",ROW()-5)</f>
        <v/>
      </c>
      <c r="B499" s="43" t="n"/>
      <c r="C499" s="41" t="n"/>
      <c r="D499" s="41" t="n"/>
      <c r="E499" s="70" t="n"/>
      <c r="F499" s="71" t="n"/>
      <c r="G499" s="72" t="n"/>
      <c r="H499" s="73" t="n"/>
      <c r="I499" s="74">
        <f>IF(OR(E499="",F499=""),"",E499*F499)</f>
        <v/>
      </c>
      <c r="J499" s="75">
        <f>IF(I499="","",IF(D499="Buy",I499+N(G499),IF(D499="Sell",I499-N(G499),IF(D499="Dividend",I499-N(G499),I499+N(G499)))))</f>
        <v/>
      </c>
      <c r="K499" s="76">
        <f>IF(B499="","",DATE(YEAR(B499),MONTH(B499),1))</f>
        <v/>
      </c>
      <c r="L499" s="77">
        <f>IF(B499="","",YEAR(B499))</f>
        <v/>
      </c>
    </row>
    <row r="500" ht="19" customHeight="1">
      <c r="A500" s="69">
        <f>IF(B500="","",ROW()-5)</f>
        <v/>
      </c>
      <c r="B500" s="43" t="n"/>
      <c r="C500" s="41" t="n"/>
      <c r="D500" s="41" t="n"/>
      <c r="E500" s="70" t="n"/>
      <c r="F500" s="71" t="n"/>
      <c r="G500" s="72" t="n"/>
      <c r="H500" s="73" t="n"/>
      <c r="I500" s="74">
        <f>IF(OR(E500="",F500=""),"",E500*F500)</f>
        <v/>
      </c>
      <c r="J500" s="75">
        <f>IF(I500="","",IF(D500="Buy",I500+N(G500),IF(D500="Sell",I500-N(G500),IF(D500="Dividend",I500-N(G500),I500+N(G500)))))</f>
        <v/>
      </c>
      <c r="K500" s="76">
        <f>IF(B500="","",DATE(YEAR(B500),MONTH(B500),1))</f>
        <v/>
      </c>
      <c r="L500" s="77">
        <f>IF(B500="","",YEAR(B500))</f>
        <v/>
      </c>
    </row>
    <row r="501" ht="19" customHeight="1">
      <c r="A501" s="69">
        <f>IF(B501="","",ROW()-5)</f>
        <v/>
      </c>
      <c r="B501" s="43" t="n"/>
      <c r="C501" s="41" t="n"/>
      <c r="D501" s="41" t="n"/>
      <c r="E501" s="70" t="n"/>
      <c r="F501" s="71" t="n"/>
      <c r="G501" s="72" t="n"/>
      <c r="H501" s="73" t="n"/>
      <c r="I501" s="74">
        <f>IF(OR(E501="",F501=""),"",E501*F501)</f>
        <v/>
      </c>
      <c r="J501" s="75">
        <f>IF(I501="","",IF(D501="Buy",I501+N(G501),IF(D501="Sell",I501-N(G501),IF(D501="Dividend",I501-N(G501),I501+N(G501)))))</f>
        <v/>
      </c>
      <c r="K501" s="76">
        <f>IF(B501="","",DATE(YEAR(B501),MONTH(B501),1))</f>
        <v/>
      </c>
      <c r="L501" s="77">
        <f>IF(B501="","",YEAR(B501))</f>
        <v/>
      </c>
    </row>
    <row r="502" ht="19" customHeight="1">
      <c r="A502" s="69">
        <f>IF(B502="","",ROW()-5)</f>
        <v/>
      </c>
      <c r="B502" s="43" t="n"/>
      <c r="C502" s="41" t="n"/>
      <c r="D502" s="41" t="n"/>
      <c r="E502" s="70" t="n"/>
      <c r="F502" s="71" t="n"/>
      <c r="G502" s="72" t="n"/>
      <c r="H502" s="73" t="n"/>
      <c r="I502" s="74">
        <f>IF(OR(E502="",F502=""),"",E502*F502)</f>
        <v/>
      </c>
      <c r="J502" s="75">
        <f>IF(I502="","",IF(D502="Buy",I502+N(G502),IF(D502="Sell",I502-N(G502),IF(D502="Dividend",I502-N(G502),I502+N(G502)))))</f>
        <v/>
      </c>
      <c r="K502" s="76">
        <f>IF(B502="","",DATE(YEAR(B502),MONTH(B502),1))</f>
        <v/>
      </c>
      <c r="L502" s="77">
        <f>IF(B502="","",YEAR(B502))</f>
        <v/>
      </c>
    </row>
    <row r="503" ht="19" customHeight="1">
      <c r="A503" s="69">
        <f>IF(B503="","",ROW()-5)</f>
        <v/>
      </c>
      <c r="B503" s="43" t="n"/>
      <c r="C503" s="41" t="n"/>
      <c r="D503" s="41" t="n"/>
      <c r="E503" s="70" t="n"/>
      <c r="F503" s="71" t="n"/>
      <c r="G503" s="72" t="n"/>
      <c r="H503" s="73" t="n"/>
      <c r="I503" s="74">
        <f>IF(OR(E503="",F503=""),"",E503*F503)</f>
        <v/>
      </c>
      <c r="J503" s="75">
        <f>IF(I503="","",IF(D503="Buy",I503+N(G503),IF(D503="Sell",I503-N(G503),IF(D503="Dividend",I503-N(G503),I503+N(G503)))))</f>
        <v/>
      </c>
      <c r="K503" s="76">
        <f>IF(B503="","",DATE(YEAR(B503),MONTH(B503),1))</f>
        <v/>
      </c>
      <c r="L503" s="77">
        <f>IF(B503="","",YEAR(B503))</f>
        <v/>
      </c>
    </row>
    <row r="504" ht="19" customHeight="1">
      <c r="A504" s="69">
        <f>IF(B504="","",ROW()-5)</f>
        <v/>
      </c>
      <c r="B504" s="43" t="n"/>
      <c r="C504" s="41" t="n"/>
      <c r="D504" s="41" t="n"/>
      <c r="E504" s="70" t="n"/>
      <c r="F504" s="71" t="n"/>
      <c r="G504" s="72" t="n"/>
      <c r="H504" s="73" t="n"/>
      <c r="I504" s="74">
        <f>IF(OR(E504="",F504=""),"",E504*F504)</f>
        <v/>
      </c>
      <c r="J504" s="75">
        <f>IF(I504="","",IF(D504="Buy",I504+N(G504),IF(D504="Sell",I504-N(G504),IF(D504="Dividend",I504-N(G504),I504+N(G504)))))</f>
        <v/>
      </c>
      <c r="K504" s="76">
        <f>IF(B504="","",DATE(YEAR(B504),MONTH(B504),1))</f>
        <v/>
      </c>
      <c r="L504" s="77">
        <f>IF(B504="","",YEAR(B504))</f>
        <v/>
      </c>
    </row>
    <row r="505" ht="19" customHeight="1">
      <c r="A505" s="69">
        <f>IF(B505="","",ROW()-5)</f>
        <v/>
      </c>
      <c r="B505" s="43" t="n"/>
      <c r="C505" s="41" t="n"/>
      <c r="D505" s="41" t="n"/>
      <c r="E505" s="70" t="n"/>
      <c r="F505" s="71" t="n"/>
      <c r="G505" s="72" t="n"/>
      <c r="H505" s="73" t="n"/>
      <c r="I505" s="74">
        <f>IF(OR(E505="",F505=""),"",E505*F505)</f>
        <v/>
      </c>
      <c r="J505" s="75">
        <f>IF(I505="","",IF(D505="Buy",I505+N(G505),IF(D505="Sell",I505-N(G505),IF(D505="Dividend",I505-N(G505),I505+N(G505)))))</f>
        <v/>
      </c>
      <c r="K505" s="76">
        <f>IF(B505="","",DATE(YEAR(B505),MONTH(B505),1))</f>
        <v/>
      </c>
      <c r="L505" s="77">
        <f>IF(B505="","",YEAR(B505))</f>
        <v/>
      </c>
    </row>
    <row r="506" ht="19" customHeight="1">
      <c r="A506" s="69">
        <f>IF(B506="","",ROW()-5)</f>
        <v/>
      </c>
      <c r="B506" s="43" t="n"/>
      <c r="C506" s="41" t="n"/>
      <c r="D506" s="41" t="n"/>
      <c r="E506" s="70" t="n"/>
      <c r="F506" s="71" t="n"/>
      <c r="G506" s="72" t="n"/>
      <c r="H506" s="73" t="n"/>
      <c r="I506" s="74">
        <f>IF(OR(E506="",F506=""),"",E506*F506)</f>
        <v/>
      </c>
      <c r="J506" s="75">
        <f>IF(I506="","",IF(D506="Buy",I506+N(G506),IF(D506="Sell",I506-N(G506),IF(D506="Dividend",I506-N(G506),I506+N(G506)))))</f>
        <v/>
      </c>
      <c r="K506" s="76">
        <f>IF(B506="","",DATE(YEAR(B506),MONTH(B506),1))</f>
        <v/>
      </c>
      <c r="L506" s="77">
        <f>IF(B506="","",YEAR(B506))</f>
        <v/>
      </c>
    </row>
    <row r="507" ht="19" customHeight="1">
      <c r="A507" s="69">
        <f>IF(B507="","",ROW()-5)</f>
        <v/>
      </c>
      <c r="B507" s="43" t="n"/>
      <c r="C507" s="41" t="n"/>
      <c r="D507" s="41" t="n"/>
      <c r="E507" s="70" t="n"/>
      <c r="F507" s="71" t="n"/>
      <c r="G507" s="72" t="n"/>
      <c r="H507" s="73" t="n"/>
      <c r="I507" s="74">
        <f>IF(OR(E507="",F507=""),"",E507*F507)</f>
        <v/>
      </c>
      <c r="J507" s="75">
        <f>IF(I507="","",IF(D507="Buy",I507+N(G507),IF(D507="Sell",I507-N(G507),IF(D507="Dividend",I507-N(G507),I507+N(G507)))))</f>
        <v/>
      </c>
      <c r="K507" s="76">
        <f>IF(B507="","",DATE(YEAR(B507),MONTH(B507),1))</f>
        <v/>
      </c>
      <c r="L507" s="77">
        <f>IF(B507="","",YEAR(B507))</f>
        <v/>
      </c>
    </row>
    <row r="508" ht="19" customHeight="1">
      <c r="A508" s="69">
        <f>IF(B508="","",ROW()-5)</f>
        <v/>
      </c>
      <c r="B508" s="43" t="n"/>
      <c r="C508" s="41" t="n"/>
      <c r="D508" s="41" t="n"/>
      <c r="E508" s="70" t="n"/>
      <c r="F508" s="71" t="n"/>
      <c r="G508" s="72" t="n"/>
      <c r="H508" s="73" t="n"/>
      <c r="I508" s="74">
        <f>IF(OR(E508="",F508=""),"",E508*F508)</f>
        <v/>
      </c>
      <c r="J508" s="75">
        <f>IF(I508="","",IF(D508="Buy",I508+N(G508),IF(D508="Sell",I508-N(G508),IF(D508="Dividend",I508-N(G508),I508+N(G508)))))</f>
        <v/>
      </c>
      <c r="K508" s="76">
        <f>IF(B508="","",DATE(YEAR(B508),MONTH(B508),1))</f>
        <v/>
      </c>
      <c r="L508" s="77">
        <f>IF(B508="","",YEAR(B508))</f>
        <v/>
      </c>
    </row>
    <row r="509" ht="19" customHeight="1">
      <c r="A509" s="69">
        <f>IF(B509="","",ROW()-5)</f>
        <v/>
      </c>
      <c r="B509" s="43" t="n"/>
      <c r="C509" s="41" t="n"/>
      <c r="D509" s="41" t="n"/>
      <c r="E509" s="70" t="n"/>
      <c r="F509" s="71" t="n"/>
      <c r="G509" s="72" t="n"/>
      <c r="H509" s="73" t="n"/>
      <c r="I509" s="74">
        <f>IF(OR(E509="",F509=""),"",E509*F509)</f>
        <v/>
      </c>
      <c r="J509" s="75">
        <f>IF(I509="","",IF(D509="Buy",I509+N(G509),IF(D509="Sell",I509-N(G509),IF(D509="Dividend",I509-N(G509),I509+N(G509)))))</f>
        <v/>
      </c>
      <c r="K509" s="76">
        <f>IF(B509="","",DATE(YEAR(B509),MONTH(B509),1))</f>
        <v/>
      </c>
      <c r="L509" s="77">
        <f>IF(B509="","",YEAR(B509))</f>
        <v/>
      </c>
    </row>
    <row r="510" ht="19" customHeight="1">
      <c r="A510" s="69">
        <f>IF(B510="","",ROW()-5)</f>
        <v/>
      </c>
      <c r="B510" s="43" t="n"/>
      <c r="C510" s="41" t="n"/>
      <c r="D510" s="41" t="n"/>
      <c r="E510" s="70" t="n"/>
      <c r="F510" s="71" t="n"/>
      <c r="G510" s="72" t="n"/>
      <c r="H510" s="73" t="n"/>
      <c r="I510" s="74">
        <f>IF(OR(E510="",F510=""),"",E510*F510)</f>
        <v/>
      </c>
      <c r="J510" s="75">
        <f>IF(I510="","",IF(D510="Buy",I510+N(G510),IF(D510="Sell",I510-N(G510),IF(D510="Dividend",I510-N(G510),I510+N(G510)))))</f>
        <v/>
      </c>
      <c r="K510" s="76">
        <f>IF(B510="","",DATE(YEAR(B510),MONTH(B510),1))</f>
        <v/>
      </c>
      <c r="L510" s="77">
        <f>IF(B510="","",YEAR(B510))</f>
        <v/>
      </c>
    </row>
    <row r="511" ht="19" customHeight="1">
      <c r="A511" s="69">
        <f>IF(B511="","",ROW()-5)</f>
        <v/>
      </c>
      <c r="B511" s="43" t="n"/>
      <c r="C511" s="41" t="n"/>
      <c r="D511" s="41" t="n"/>
      <c r="E511" s="70" t="n"/>
      <c r="F511" s="71" t="n"/>
      <c r="G511" s="72" t="n"/>
      <c r="H511" s="73" t="n"/>
      <c r="I511" s="74">
        <f>IF(OR(E511="",F511=""),"",E511*F511)</f>
        <v/>
      </c>
      <c r="J511" s="75">
        <f>IF(I511="","",IF(D511="Buy",I511+N(G511),IF(D511="Sell",I511-N(G511),IF(D511="Dividend",I511-N(G511),I511+N(G511)))))</f>
        <v/>
      </c>
      <c r="K511" s="76">
        <f>IF(B511="","",DATE(YEAR(B511),MONTH(B511),1))</f>
        <v/>
      </c>
      <c r="L511" s="77">
        <f>IF(B511="","",YEAR(B511))</f>
        <v/>
      </c>
    </row>
    <row r="512" ht="19" customHeight="1">
      <c r="A512" s="69">
        <f>IF(B512="","",ROW()-5)</f>
        <v/>
      </c>
      <c r="B512" s="43" t="n"/>
      <c r="C512" s="41" t="n"/>
      <c r="D512" s="41" t="n"/>
      <c r="E512" s="70" t="n"/>
      <c r="F512" s="71" t="n"/>
      <c r="G512" s="72" t="n"/>
      <c r="H512" s="73" t="n"/>
      <c r="I512" s="74">
        <f>IF(OR(E512="",F512=""),"",E512*F512)</f>
        <v/>
      </c>
      <c r="J512" s="75">
        <f>IF(I512="","",IF(D512="Buy",I512+N(G512),IF(D512="Sell",I512-N(G512),IF(D512="Dividend",I512-N(G512),I512+N(G512)))))</f>
        <v/>
      </c>
      <c r="K512" s="76">
        <f>IF(B512="","",DATE(YEAR(B512),MONTH(B512),1))</f>
        <v/>
      </c>
      <c r="L512" s="77">
        <f>IF(B512="","",YEAR(B512))</f>
        <v/>
      </c>
    </row>
    <row r="513" ht="19" customHeight="1">
      <c r="A513" s="69">
        <f>IF(B513="","",ROW()-5)</f>
        <v/>
      </c>
      <c r="B513" s="43" t="n"/>
      <c r="C513" s="41" t="n"/>
      <c r="D513" s="41" t="n"/>
      <c r="E513" s="70" t="n"/>
      <c r="F513" s="71" t="n"/>
      <c r="G513" s="72" t="n"/>
      <c r="H513" s="73" t="n"/>
      <c r="I513" s="74">
        <f>IF(OR(E513="",F513=""),"",E513*F513)</f>
        <v/>
      </c>
      <c r="J513" s="75">
        <f>IF(I513="","",IF(D513="Buy",I513+N(G513),IF(D513="Sell",I513-N(G513),IF(D513="Dividend",I513-N(G513),I513+N(G513)))))</f>
        <v/>
      </c>
      <c r="K513" s="76">
        <f>IF(B513="","",DATE(YEAR(B513),MONTH(B513),1))</f>
        <v/>
      </c>
      <c r="L513" s="77">
        <f>IF(B513="","",YEAR(B513))</f>
        <v/>
      </c>
    </row>
    <row r="514" ht="19" customHeight="1">
      <c r="A514" s="69">
        <f>IF(B514="","",ROW()-5)</f>
        <v/>
      </c>
      <c r="B514" s="43" t="n"/>
      <c r="C514" s="41" t="n"/>
      <c r="D514" s="41" t="n"/>
      <c r="E514" s="70" t="n"/>
      <c r="F514" s="71" t="n"/>
      <c r="G514" s="72" t="n"/>
      <c r="H514" s="73" t="n"/>
      <c r="I514" s="74">
        <f>IF(OR(E514="",F514=""),"",E514*F514)</f>
        <v/>
      </c>
      <c r="J514" s="75">
        <f>IF(I514="","",IF(D514="Buy",I514+N(G514),IF(D514="Sell",I514-N(G514),IF(D514="Dividend",I514-N(G514),I514+N(G514)))))</f>
        <v/>
      </c>
      <c r="K514" s="76">
        <f>IF(B514="","",DATE(YEAR(B514),MONTH(B514),1))</f>
        <v/>
      </c>
      <c r="L514" s="77">
        <f>IF(B514="","",YEAR(B514))</f>
        <v/>
      </c>
    </row>
    <row r="515" ht="19" customHeight="1">
      <c r="A515" s="69">
        <f>IF(B515="","",ROW()-5)</f>
        <v/>
      </c>
      <c r="B515" s="43" t="n"/>
      <c r="C515" s="41" t="n"/>
      <c r="D515" s="41" t="n"/>
      <c r="E515" s="70" t="n"/>
      <c r="F515" s="71" t="n"/>
      <c r="G515" s="72" t="n"/>
      <c r="H515" s="73" t="n"/>
      <c r="I515" s="74">
        <f>IF(OR(E515="",F515=""),"",E515*F515)</f>
        <v/>
      </c>
      <c r="J515" s="75">
        <f>IF(I515="","",IF(D515="Buy",I515+N(G515),IF(D515="Sell",I515-N(G515),IF(D515="Dividend",I515-N(G515),I515+N(G515)))))</f>
        <v/>
      </c>
      <c r="K515" s="76">
        <f>IF(B515="","",DATE(YEAR(B515),MONTH(B515),1))</f>
        <v/>
      </c>
      <c r="L515" s="77">
        <f>IF(B515="","",YEAR(B515))</f>
        <v/>
      </c>
    </row>
    <row r="516" ht="19" customHeight="1">
      <c r="A516" s="69">
        <f>IF(B516="","",ROW()-5)</f>
        <v/>
      </c>
      <c r="B516" s="43" t="n"/>
      <c r="C516" s="41" t="n"/>
      <c r="D516" s="41" t="n"/>
      <c r="E516" s="70" t="n"/>
      <c r="F516" s="71" t="n"/>
      <c r="G516" s="72" t="n"/>
      <c r="H516" s="73" t="n"/>
      <c r="I516" s="74">
        <f>IF(OR(E516="",F516=""),"",E516*F516)</f>
        <v/>
      </c>
      <c r="J516" s="75">
        <f>IF(I516="","",IF(D516="Buy",I516+N(G516),IF(D516="Sell",I516-N(G516),IF(D516="Dividend",I516-N(G516),I516+N(G516)))))</f>
        <v/>
      </c>
      <c r="K516" s="76">
        <f>IF(B516="","",DATE(YEAR(B516),MONTH(B516),1))</f>
        <v/>
      </c>
      <c r="L516" s="77">
        <f>IF(B516="","",YEAR(B516))</f>
        <v/>
      </c>
    </row>
    <row r="517" ht="19" customHeight="1">
      <c r="A517" s="69">
        <f>IF(B517="","",ROW()-5)</f>
        <v/>
      </c>
      <c r="B517" s="43" t="n"/>
      <c r="C517" s="41" t="n"/>
      <c r="D517" s="41" t="n"/>
      <c r="E517" s="70" t="n"/>
      <c r="F517" s="71" t="n"/>
      <c r="G517" s="72" t="n"/>
      <c r="H517" s="73" t="n"/>
      <c r="I517" s="74">
        <f>IF(OR(E517="",F517=""),"",E517*F517)</f>
        <v/>
      </c>
      <c r="J517" s="75">
        <f>IF(I517="","",IF(D517="Buy",I517+N(G517),IF(D517="Sell",I517-N(G517),IF(D517="Dividend",I517-N(G517),I517+N(G517)))))</f>
        <v/>
      </c>
      <c r="K517" s="76">
        <f>IF(B517="","",DATE(YEAR(B517),MONTH(B517),1))</f>
        <v/>
      </c>
      <c r="L517" s="77">
        <f>IF(B517="","",YEAR(B517))</f>
        <v/>
      </c>
    </row>
    <row r="518" ht="19" customHeight="1">
      <c r="A518" s="69">
        <f>IF(B518="","",ROW()-5)</f>
        <v/>
      </c>
      <c r="B518" s="43" t="n"/>
      <c r="C518" s="41" t="n"/>
      <c r="D518" s="41" t="n"/>
      <c r="E518" s="70" t="n"/>
      <c r="F518" s="71" t="n"/>
      <c r="G518" s="72" t="n"/>
      <c r="H518" s="73" t="n"/>
      <c r="I518" s="74">
        <f>IF(OR(E518="",F518=""),"",E518*F518)</f>
        <v/>
      </c>
      <c r="J518" s="75">
        <f>IF(I518="","",IF(D518="Buy",I518+N(G518),IF(D518="Sell",I518-N(G518),IF(D518="Dividend",I518-N(G518),I518+N(G518)))))</f>
        <v/>
      </c>
      <c r="K518" s="76">
        <f>IF(B518="","",DATE(YEAR(B518),MONTH(B518),1))</f>
        <v/>
      </c>
      <c r="L518" s="77">
        <f>IF(B518="","",YEAR(B518))</f>
        <v/>
      </c>
    </row>
    <row r="519" ht="19" customHeight="1">
      <c r="A519" s="69">
        <f>IF(B519="","",ROW()-5)</f>
        <v/>
      </c>
      <c r="B519" s="43" t="n"/>
      <c r="C519" s="41" t="n"/>
      <c r="D519" s="41" t="n"/>
      <c r="E519" s="70" t="n"/>
      <c r="F519" s="71" t="n"/>
      <c r="G519" s="72" t="n"/>
      <c r="H519" s="73" t="n"/>
      <c r="I519" s="74">
        <f>IF(OR(E519="",F519=""),"",E519*F519)</f>
        <v/>
      </c>
      <c r="J519" s="75">
        <f>IF(I519="","",IF(D519="Buy",I519+N(G519),IF(D519="Sell",I519-N(G519),IF(D519="Dividend",I519-N(G519),I519+N(G519)))))</f>
        <v/>
      </c>
      <c r="K519" s="76">
        <f>IF(B519="","",DATE(YEAR(B519),MONTH(B519),1))</f>
        <v/>
      </c>
      <c r="L519" s="77">
        <f>IF(B519="","",YEAR(B519))</f>
        <v/>
      </c>
    </row>
    <row r="520" ht="19" customHeight="1">
      <c r="A520" s="69">
        <f>IF(B520="","",ROW()-5)</f>
        <v/>
      </c>
      <c r="B520" s="43" t="n"/>
      <c r="C520" s="41" t="n"/>
      <c r="D520" s="41" t="n"/>
      <c r="E520" s="70" t="n"/>
      <c r="F520" s="71" t="n"/>
      <c r="G520" s="72" t="n"/>
      <c r="H520" s="73" t="n"/>
      <c r="I520" s="74">
        <f>IF(OR(E520="",F520=""),"",E520*F520)</f>
        <v/>
      </c>
      <c r="J520" s="75">
        <f>IF(I520="","",IF(D520="Buy",I520+N(G520),IF(D520="Sell",I520-N(G520),IF(D520="Dividend",I520-N(G520),I520+N(G520)))))</f>
        <v/>
      </c>
      <c r="K520" s="76">
        <f>IF(B520="","",DATE(YEAR(B520),MONTH(B520),1))</f>
        <v/>
      </c>
      <c r="L520" s="77">
        <f>IF(B520="","",YEAR(B520))</f>
        <v/>
      </c>
    </row>
    <row r="521" ht="19" customHeight="1">
      <c r="A521" s="69">
        <f>IF(B521="","",ROW()-5)</f>
        <v/>
      </c>
      <c r="B521" s="43" t="n"/>
      <c r="C521" s="41" t="n"/>
      <c r="D521" s="41" t="n"/>
      <c r="E521" s="70" t="n"/>
      <c r="F521" s="71" t="n"/>
      <c r="G521" s="72" t="n"/>
      <c r="H521" s="73" t="n"/>
      <c r="I521" s="74">
        <f>IF(OR(E521="",F521=""),"",E521*F521)</f>
        <v/>
      </c>
      <c r="J521" s="75">
        <f>IF(I521="","",IF(D521="Buy",I521+N(G521),IF(D521="Sell",I521-N(G521),IF(D521="Dividend",I521-N(G521),I521+N(G521)))))</f>
        <v/>
      </c>
      <c r="K521" s="76">
        <f>IF(B521="","",DATE(YEAR(B521),MONTH(B521),1))</f>
        <v/>
      </c>
      <c r="L521" s="77">
        <f>IF(B521="","",YEAR(B521))</f>
        <v/>
      </c>
    </row>
    <row r="522" ht="19" customHeight="1">
      <c r="A522" s="69">
        <f>IF(B522="","",ROW()-5)</f>
        <v/>
      </c>
      <c r="B522" s="43" t="n"/>
      <c r="C522" s="41" t="n"/>
      <c r="D522" s="41" t="n"/>
      <c r="E522" s="70" t="n"/>
      <c r="F522" s="71" t="n"/>
      <c r="G522" s="72" t="n"/>
      <c r="H522" s="73" t="n"/>
      <c r="I522" s="74">
        <f>IF(OR(E522="",F522=""),"",E522*F522)</f>
        <v/>
      </c>
      <c r="J522" s="75">
        <f>IF(I522="","",IF(D522="Buy",I522+N(G522),IF(D522="Sell",I522-N(G522),IF(D522="Dividend",I522-N(G522),I522+N(G522)))))</f>
        <v/>
      </c>
      <c r="K522" s="76">
        <f>IF(B522="","",DATE(YEAR(B522),MONTH(B522),1))</f>
        <v/>
      </c>
      <c r="L522" s="77">
        <f>IF(B522="","",YEAR(B522))</f>
        <v/>
      </c>
    </row>
    <row r="523" ht="19" customHeight="1">
      <c r="A523" s="69">
        <f>IF(B523="","",ROW()-5)</f>
        <v/>
      </c>
      <c r="B523" s="43" t="n"/>
      <c r="C523" s="41" t="n"/>
      <c r="D523" s="41" t="n"/>
      <c r="E523" s="70" t="n"/>
      <c r="F523" s="71" t="n"/>
      <c r="G523" s="72" t="n"/>
      <c r="H523" s="73" t="n"/>
      <c r="I523" s="74">
        <f>IF(OR(E523="",F523=""),"",E523*F523)</f>
        <v/>
      </c>
      <c r="J523" s="75">
        <f>IF(I523="","",IF(D523="Buy",I523+N(G523),IF(D523="Sell",I523-N(G523),IF(D523="Dividend",I523-N(G523),I523+N(G523)))))</f>
        <v/>
      </c>
      <c r="K523" s="76">
        <f>IF(B523="","",DATE(YEAR(B523),MONTH(B523),1))</f>
        <v/>
      </c>
      <c r="L523" s="77">
        <f>IF(B523="","",YEAR(B523))</f>
        <v/>
      </c>
    </row>
    <row r="524" ht="19" customHeight="1">
      <c r="A524" s="69">
        <f>IF(B524="","",ROW()-5)</f>
        <v/>
      </c>
      <c r="B524" s="43" t="n"/>
      <c r="C524" s="41" t="n"/>
      <c r="D524" s="41" t="n"/>
      <c r="E524" s="70" t="n"/>
      <c r="F524" s="71" t="n"/>
      <c r="G524" s="72" t="n"/>
      <c r="H524" s="73" t="n"/>
      <c r="I524" s="74">
        <f>IF(OR(E524="",F524=""),"",E524*F524)</f>
        <v/>
      </c>
      <c r="J524" s="75">
        <f>IF(I524="","",IF(D524="Buy",I524+N(G524),IF(D524="Sell",I524-N(G524),IF(D524="Dividend",I524-N(G524),I524+N(G524)))))</f>
        <v/>
      </c>
      <c r="K524" s="76">
        <f>IF(B524="","",DATE(YEAR(B524),MONTH(B524),1))</f>
        <v/>
      </c>
      <c r="L524" s="77">
        <f>IF(B524="","",YEAR(B524))</f>
        <v/>
      </c>
    </row>
    <row r="525" ht="19" customHeight="1">
      <c r="A525" s="69">
        <f>IF(B525="","",ROW()-5)</f>
        <v/>
      </c>
      <c r="B525" s="43" t="n"/>
      <c r="C525" s="41" t="n"/>
      <c r="D525" s="41" t="n"/>
      <c r="E525" s="70" t="n"/>
      <c r="F525" s="71" t="n"/>
      <c r="G525" s="72" t="n"/>
      <c r="H525" s="73" t="n"/>
      <c r="I525" s="74">
        <f>IF(OR(E525="",F525=""),"",E525*F525)</f>
        <v/>
      </c>
      <c r="J525" s="75">
        <f>IF(I525="","",IF(D525="Buy",I525+N(G525),IF(D525="Sell",I525-N(G525),IF(D525="Dividend",I525-N(G525),I525+N(G525)))))</f>
        <v/>
      </c>
      <c r="K525" s="76">
        <f>IF(B525="","",DATE(YEAR(B525),MONTH(B525),1))</f>
        <v/>
      </c>
      <c r="L525" s="77">
        <f>IF(B525="","",YEAR(B525))</f>
        <v/>
      </c>
    </row>
    <row r="526" ht="19" customHeight="1">
      <c r="A526" s="69">
        <f>IF(B526="","",ROW()-5)</f>
        <v/>
      </c>
      <c r="B526" s="43" t="n"/>
      <c r="C526" s="41" t="n"/>
      <c r="D526" s="41" t="n"/>
      <c r="E526" s="70" t="n"/>
      <c r="F526" s="71" t="n"/>
      <c r="G526" s="72" t="n"/>
      <c r="H526" s="73" t="n"/>
      <c r="I526" s="74">
        <f>IF(OR(E526="",F526=""),"",E526*F526)</f>
        <v/>
      </c>
      <c r="J526" s="75">
        <f>IF(I526="","",IF(D526="Buy",I526+N(G526),IF(D526="Sell",I526-N(G526),IF(D526="Dividend",I526-N(G526),I526+N(G526)))))</f>
        <v/>
      </c>
      <c r="K526" s="76">
        <f>IF(B526="","",DATE(YEAR(B526),MONTH(B526),1))</f>
        <v/>
      </c>
      <c r="L526" s="77">
        <f>IF(B526="","",YEAR(B526))</f>
        <v/>
      </c>
    </row>
    <row r="527" ht="19" customHeight="1">
      <c r="A527" s="69">
        <f>IF(B527="","",ROW()-5)</f>
        <v/>
      </c>
      <c r="B527" s="43" t="n"/>
      <c r="C527" s="41" t="n"/>
      <c r="D527" s="41" t="n"/>
      <c r="E527" s="70" t="n"/>
      <c r="F527" s="71" t="n"/>
      <c r="G527" s="72" t="n"/>
      <c r="H527" s="73" t="n"/>
      <c r="I527" s="74">
        <f>IF(OR(E527="",F527=""),"",E527*F527)</f>
        <v/>
      </c>
      <c r="J527" s="75">
        <f>IF(I527="","",IF(D527="Buy",I527+N(G527),IF(D527="Sell",I527-N(G527),IF(D527="Dividend",I527-N(G527),I527+N(G527)))))</f>
        <v/>
      </c>
      <c r="K527" s="76">
        <f>IF(B527="","",DATE(YEAR(B527),MONTH(B527),1))</f>
        <v/>
      </c>
      <c r="L527" s="77">
        <f>IF(B527="","",YEAR(B527))</f>
        <v/>
      </c>
    </row>
    <row r="528" ht="19" customHeight="1">
      <c r="A528" s="69">
        <f>IF(B528="","",ROW()-5)</f>
        <v/>
      </c>
      <c r="B528" s="43" t="n"/>
      <c r="C528" s="41" t="n"/>
      <c r="D528" s="41" t="n"/>
      <c r="E528" s="70" t="n"/>
      <c r="F528" s="71" t="n"/>
      <c r="G528" s="72" t="n"/>
      <c r="H528" s="73" t="n"/>
      <c r="I528" s="74">
        <f>IF(OR(E528="",F528=""),"",E528*F528)</f>
        <v/>
      </c>
      <c r="J528" s="75">
        <f>IF(I528="","",IF(D528="Buy",I528+N(G528),IF(D528="Sell",I528-N(G528),IF(D528="Dividend",I528-N(G528),I528+N(G528)))))</f>
        <v/>
      </c>
      <c r="K528" s="76">
        <f>IF(B528="","",DATE(YEAR(B528),MONTH(B528),1))</f>
        <v/>
      </c>
      <c r="L528" s="77">
        <f>IF(B528="","",YEAR(B528))</f>
        <v/>
      </c>
    </row>
    <row r="529" ht="19" customHeight="1">
      <c r="A529" s="69">
        <f>IF(B529="","",ROW()-5)</f>
        <v/>
      </c>
      <c r="B529" s="43" t="n"/>
      <c r="C529" s="41" t="n"/>
      <c r="D529" s="41" t="n"/>
      <c r="E529" s="70" t="n"/>
      <c r="F529" s="71" t="n"/>
      <c r="G529" s="72" t="n"/>
      <c r="H529" s="73" t="n"/>
      <c r="I529" s="74">
        <f>IF(OR(E529="",F529=""),"",E529*F529)</f>
        <v/>
      </c>
      <c r="J529" s="75">
        <f>IF(I529="","",IF(D529="Buy",I529+N(G529),IF(D529="Sell",I529-N(G529),IF(D529="Dividend",I529-N(G529),I529+N(G529)))))</f>
        <v/>
      </c>
      <c r="K529" s="76">
        <f>IF(B529="","",DATE(YEAR(B529),MONTH(B529),1))</f>
        <v/>
      </c>
      <c r="L529" s="77">
        <f>IF(B529="","",YEAR(B529))</f>
        <v/>
      </c>
    </row>
    <row r="530" ht="19" customHeight="1">
      <c r="A530" s="69">
        <f>IF(B530="","",ROW()-5)</f>
        <v/>
      </c>
      <c r="B530" s="43" t="n"/>
      <c r="C530" s="41" t="n"/>
      <c r="D530" s="41" t="n"/>
      <c r="E530" s="70" t="n"/>
      <c r="F530" s="71" t="n"/>
      <c r="G530" s="72" t="n"/>
      <c r="H530" s="73" t="n"/>
      <c r="I530" s="74">
        <f>IF(OR(E530="",F530=""),"",E530*F530)</f>
        <v/>
      </c>
      <c r="J530" s="75">
        <f>IF(I530="","",IF(D530="Buy",I530+N(G530),IF(D530="Sell",I530-N(G530),IF(D530="Dividend",I530-N(G530),I530+N(G530)))))</f>
        <v/>
      </c>
      <c r="K530" s="76">
        <f>IF(B530="","",DATE(YEAR(B530),MONTH(B530),1))</f>
        <v/>
      </c>
      <c r="L530" s="77">
        <f>IF(B530="","",YEAR(B530))</f>
        <v/>
      </c>
    </row>
    <row r="531" ht="19" customHeight="1">
      <c r="A531" s="69">
        <f>IF(B531="","",ROW()-5)</f>
        <v/>
      </c>
      <c r="B531" s="43" t="n"/>
      <c r="C531" s="41" t="n"/>
      <c r="D531" s="41" t="n"/>
      <c r="E531" s="70" t="n"/>
      <c r="F531" s="71" t="n"/>
      <c r="G531" s="72" t="n"/>
      <c r="H531" s="73" t="n"/>
      <c r="I531" s="74">
        <f>IF(OR(E531="",F531=""),"",E531*F531)</f>
        <v/>
      </c>
      <c r="J531" s="75">
        <f>IF(I531="","",IF(D531="Buy",I531+N(G531),IF(D531="Sell",I531-N(G531),IF(D531="Dividend",I531-N(G531),I531+N(G531)))))</f>
        <v/>
      </c>
      <c r="K531" s="76">
        <f>IF(B531="","",DATE(YEAR(B531),MONTH(B531),1))</f>
        <v/>
      </c>
      <c r="L531" s="77">
        <f>IF(B531="","",YEAR(B531))</f>
        <v/>
      </c>
    </row>
    <row r="532" ht="19" customHeight="1">
      <c r="A532" s="69">
        <f>IF(B532="","",ROW()-5)</f>
        <v/>
      </c>
      <c r="B532" s="43" t="n"/>
      <c r="C532" s="41" t="n"/>
      <c r="D532" s="41" t="n"/>
      <c r="E532" s="70" t="n"/>
      <c r="F532" s="71" t="n"/>
      <c r="G532" s="72" t="n"/>
      <c r="H532" s="73" t="n"/>
      <c r="I532" s="74">
        <f>IF(OR(E532="",F532=""),"",E532*F532)</f>
        <v/>
      </c>
      <c r="J532" s="75">
        <f>IF(I532="","",IF(D532="Buy",I532+N(G532),IF(D532="Sell",I532-N(G532),IF(D532="Dividend",I532-N(G532),I532+N(G532)))))</f>
        <v/>
      </c>
      <c r="K532" s="76">
        <f>IF(B532="","",DATE(YEAR(B532),MONTH(B532),1))</f>
        <v/>
      </c>
      <c r="L532" s="77">
        <f>IF(B532="","",YEAR(B532))</f>
        <v/>
      </c>
    </row>
    <row r="533" ht="19" customHeight="1">
      <c r="A533" s="69">
        <f>IF(B533="","",ROW()-5)</f>
        <v/>
      </c>
      <c r="B533" s="43" t="n"/>
      <c r="C533" s="41" t="n"/>
      <c r="D533" s="41" t="n"/>
      <c r="E533" s="70" t="n"/>
      <c r="F533" s="71" t="n"/>
      <c r="G533" s="72" t="n"/>
      <c r="H533" s="73" t="n"/>
      <c r="I533" s="74">
        <f>IF(OR(E533="",F533=""),"",E533*F533)</f>
        <v/>
      </c>
      <c r="J533" s="75">
        <f>IF(I533="","",IF(D533="Buy",I533+N(G533),IF(D533="Sell",I533-N(G533),IF(D533="Dividend",I533-N(G533),I533+N(G533)))))</f>
        <v/>
      </c>
      <c r="K533" s="76">
        <f>IF(B533="","",DATE(YEAR(B533),MONTH(B533),1))</f>
        <v/>
      </c>
      <c r="L533" s="77">
        <f>IF(B533="","",YEAR(B533))</f>
        <v/>
      </c>
    </row>
    <row r="534" ht="19" customHeight="1">
      <c r="A534" s="69">
        <f>IF(B534="","",ROW()-5)</f>
        <v/>
      </c>
      <c r="B534" s="43" t="n"/>
      <c r="C534" s="41" t="n"/>
      <c r="D534" s="41" t="n"/>
      <c r="E534" s="70" t="n"/>
      <c r="F534" s="71" t="n"/>
      <c r="G534" s="72" t="n"/>
      <c r="H534" s="73" t="n"/>
      <c r="I534" s="74">
        <f>IF(OR(E534="",F534=""),"",E534*F534)</f>
        <v/>
      </c>
      <c r="J534" s="75">
        <f>IF(I534="","",IF(D534="Buy",I534+N(G534),IF(D534="Sell",I534-N(G534),IF(D534="Dividend",I534-N(G534),I534+N(G534)))))</f>
        <v/>
      </c>
      <c r="K534" s="76">
        <f>IF(B534="","",DATE(YEAR(B534),MONTH(B534),1))</f>
        <v/>
      </c>
      <c r="L534" s="77">
        <f>IF(B534="","",YEAR(B534))</f>
        <v/>
      </c>
    </row>
    <row r="535" ht="19" customHeight="1">
      <c r="A535" s="69">
        <f>IF(B535="","",ROW()-5)</f>
        <v/>
      </c>
      <c r="B535" s="43" t="n"/>
      <c r="C535" s="41" t="n"/>
      <c r="D535" s="41" t="n"/>
      <c r="E535" s="70" t="n"/>
      <c r="F535" s="71" t="n"/>
      <c r="G535" s="72" t="n"/>
      <c r="H535" s="73" t="n"/>
      <c r="I535" s="74">
        <f>IF(OR(E535="",F535=""),"",E535*F535)</f>
        <v/>
      </c>
      <c r="J535" s="75">
        <f>IF(I535="","",IF(D535="Buy",I535+N(G535),IF(D535="Sell",I535-N(G535),IF(D535="Dividend",I535-N(G535),I535+N(G535)))))</f>
        <v/>
      </c>
      <c r="K535" s="76">
        <f>IF(B535="","",DATE(YEAR(B535),MONTH(B535),1))</f>
        <v/>
      </c>
      <c r="L535" s="77">
        <f>IF(B535="","",YEAR(B535))</f>
        <v/>
      </c>
    </row>
    <row r="536" ht="19" customHeight="1">
      <c r="A536" s="69">
        <f>IF(B536="","",ROW()-5)</f>
        <v/>
      </c>
      <c r="B536" s="43" t="n"/>
      <c r="C536" s="41" t="n"/>
      <c r="D536" s="41" t="n"/>
      <c r="E536" s="70" t="n"/>
      <c r="F536" s="71" t="n"/>
      <c r="G536" s="72" t="n"/>
      <c r="H536" s="73" t="n"/>
      <c r="I536" s="74">
        <f>IF(OR(E536="",F536=""),"",E536*F536)</f>
        <v/>
      </c>
      <c r="J536" s="75">
        <f>IF(I536="","",IF(D536="Buy",I536+N(G536),IF(D536="Sell",I536-N(G536),IF(D536="Dividend",I536-N(G536),I536+N(G536)))))</f>
        <v/>
      </c>
      <c r="K536" s="76">
        <f>IF(B536="","",DATE(YEAR(B536),MONTH(B536),1))</f>
        <v/>
      </c>
      <c r="L536" s="77">
        <f>IF(B536="","",YEAR(B536))</f>
        <v/>
      </c>
    </row>
    <row r="537" ht="19" customHeight="1">
      <c r="A537" s="69">
        <f>IF(B537="","",ROW()-5)</f>
        <v/>
      </c>
      <c r="B537" s="43" t="n"/>
      <c r="C537" s="41" t="n"/>
      <c r="D537" s="41" t="n"/>
      <c r="E537" s="70" t="n"/>
      <c r="F537" s="71" t="n"/>
      <c r="G537" s="72" t="n"/>
      <c r="H537" s="73" t="n"/>
      <c r="I537" s="74">
        <f>IF(OR(E537="",F537=""),"",E537*F537)</f>
        <v/>
      </c>
      <c r="J537" s="75">
        <f>IF(I537="","",IF(D537="Buy",I537+N(G537),IF(D537="Sell",I537-N(G537),IF(D537="Dividend",I537-N(G537),I537+N(G537)))))</f>
        <v/>
      </c>
      <c r="K537" s="76">
        <f>IF(B537="","",DATE(YEAR(B537),MONTH(B537),1))</f>
        <v/>
      </c>
      <c r="L537" s="77">
        <f>IF(B537="","",YEAR(B537))</f>
        <v/>
      </c>
    </row>
    <row r="538" ht="19" customHeight="1">
      <c r="A538" s="69">
        <f>IF(B538="","",ROW()-5)</f>
        <v/>
      </c>
      <c r="B538" s="43" t="n"/>
      <c r="C538" s="41" t="n"/>
      <c r="D538" s="41" t="n"/>
      <c r="E538" s="70" t="n"/>
      <c r="F538" s="71" t="n"/>
      <c r="G538" s="72" t="n"/>
      <c r="H538" s="73" t="n"/>
      <c r="I538" s="74">
        <f>IF(OR(E538="",F538=""),"",E538*F538)</f>
        <v/>
      </c>
      <c r="J538" s="75">
        <f>IF(I538="","",IF(D538="Buy",I538+N(G538),IF(D538="Sell",I538-N(G538),IF(D538="Dividend",I538-N(G538),I538+N(G538)))))</f>
        <v/>
      </c>
      <c r="K538" s="76">
        <f>IF(B538="","",DATE(YEAR(B538),MONTH(B538),1))</f>
        <v/>
      </c>
      <c r="L538" s="77">
        <f>IF(B538="","",YEAR(B538))</f>
        <v/>
      </c>
    </row>
    <row r="539" ht="19" customHeight="1">
      <c r="A539" s="69">
        <f>IF(B539="","",ROW()-5)</f>
        <v/>
      </c>
      <c r="B539" s="43" t="n"/>
      <c r="C539" s="41" t="n"/>
      <c r="D539" s="41" t="n"/>
      <c r="E539" s="70" t="n"/>
      <c r="F539" s="71" t="n"/>
      <c r="G539" s="72" t="n"/>
      <c r="H539" s="73" t="n"/>
      <c r="I539" s="74">
        <f>IF(OR(E539="",F539=""),"",E539*F539)</f>
        <v/>
      </c>
      <c r="J539" s="75">
        <f>IF(I539="","",IF(D539="Buy",I539+N(G539),IF(D539="Sell",I539-N(G539),IF(D539="Dividend",I539-N(G539),I539+N(G539)))))</f>
        <v/>
      </c>
      <c r="K539" s="76">
        <f>IF(B539="","",DATE(YEAR(B539),MONTH(B539),1))</f>
        <v/>
      </c>
      <c r="L539" s="77">
        <f>IF(B539="","",YEAR(B539))</f>
        <v/>
      </c>
    </row>
    <row r="540" ht="19" customHeight="1">
      <c r="A540" s="69">
        <f>IF(B540="","",ROW()-5)</f>
        <v/>
      </c>
      <c r="B540" s="43" t="n"/>
      <c r="C540" s="41" t="n"/>
      <c r="D540" s="41" t="n"/>
      <c r="E540" s="70" t="n"/>
      <c r="F540" s="71" t="n"/>
      <c r="G540" s="72" t="n"/>
      <c r="H540" s="73" t="n"/>
      <c r="I540" s="74">
        <f>IF(OR(E540="",F540=""),"",E540*F540)</f>
        <v/>
      </c>
      <c r="J540" s="75">
        <f>IF(I540="","",IF(D540="Buy",I540+N(G540),IF(D540="Sell",I540-N(G540),IF(D540="Dividend",I540-N(G540),I540+N(G540)))))</f>
        <v/>
      </c>
      <c r="K540" s="76">
        <f>IF(B540="","",DATE(YEAR(B540),MONTH(B540),1))</f>
        <v/>
      </c>
      <c r="L540" s="77">
        <f>IF(B540="","",YEAR(B540))</f>
        <v/>
      </c>
    </row>
    <row r="541" ht="19" customHeight="1">
      <c r="A541" s="69">
        <f>IF(B541="","",ROW()-5)</f>
        <v/>
      </c>
      <c r="B541" s="43" t="n"/>
      <c r="C541" s="41" t="n"/>
      <c r="D541" s="41" t="n"/>
      <c r="E541" s="70" t="n"/>
      <c r="F541" s="71" t="n"/>
      <c r="G541" s="72" t="n"/>
      <c r="H541" s="73" t="n"/>
      <c r="I541" s="74">
        <f>IF(OR(E541="",F541=""),"",E541*F541)</f>
        <v/>
      </c>
      <c r="J541" s="75">
        <f>IF(I541="","",IF(D541="Buy",I541+N(G541),IF(D541="Sell",I541-N(G541),IF(D541="Dividend",I541-N(G541),I541+N(G541)))))</f>
        <v/>
      </c>
      <c r="K541" s="76">
        <f>IF(B541="","",DATE(YEAR(B541),MONTH(B541),1))</f>
        <v/>
      </c>
      <c r="L541" s="77">
        <f>IF(B541="","",YEAR(B541))</f>
        <v/>
      </c>
    </row>
    <row r="542" ht="19" customHeight="1">
      <c r="A542" s="69">
        <f>IF(B542="","",ROW()-5)</f>
        <v/>
      </c>
      <c r="B542" s="43" t="n"/>
      <c r="C542" s="41" t="n"/>
      <c r="D542" s="41" t="n"/>
      <c r="E542" s="70" t="n"/>
      <c r="F542" s="71" t="n"/>
      <c r="G542" s="72" t="n"/>
      <c r="H542" s="73" t="n"/>
      <c r="I542" s="74">
        <f>IF(OR(E542="",F542=""),"",E542*F542)</f>
        <v/>
      </c>
      <c r="J542" s="75">
        <f>IF(I542="","",IF(D542="Buy",I542+N(G542),IF(D542="Sell",I542-N(G542),IF(D542="Dividend",I542-N(G542),I542+N(G542)))))</f>
        <v/>
      </c>
      <c r="K542" s="76">
        <f>IF(B542="","",DATE(YEAR(B542),MONTH(B542),1))</f>
        <v/>
      </c>
      <c r="L542" s="77">
        <f>IF(B542="","",YEAR(B542))</f>
        <v/>
      </c>
    </row>
    <row r="543" ht="19" customHeight="1">
      <c r="A543" s="69">
        <f>IF(B543="","",ROW()-5)</f>
        <v/>
      </c>
      <c r="B543" s="43" t="n"/>
      <c r="C543" s="41" t="n"/>
      <c r="D543" s="41" t="n"/>
      <c r="E543" s="70" t="n"/>
      <c r="F543" s="71" t="n"/>
      <c r="G543" s="72" t="n"/>
      <c r="H543" s="73" t="n"/>
      <c r="I543" s="74">
        <f>IF(OR(E543="",F543=""),"",E543*F543)</f>
        <v/>
      </c>
      <c r="J543" s="75">
        <f>IF(I543="","",IF(D543="Buy",I543+N(G543),IF(D543="Sell",I543-N(G543),IF(D543="Dividend",I543-N(G543),I543+N(G543)))))</f>
        <v/>
      </c>
      <c r="K543" s="76">
        <f>IF(B543="","",DATE(YEAR(B543),MONTH(B543),1))</f>
        <v/>
      </c>
      <c r="L543" s="77">
        <f>IF(B543="","",YEAR(B543))</f>
        <v/>
      </c>
    </row>
    <row r="544" ht="19" customHeight="1">
      <c r="A544" s="69">
        <f>IF(B544="","",ROW()-5)</f>
        <v/>
      </c>
      <c r="B544" s="43" t="n"/>
      <c r="C544" s="41" t="n"/>
      <c r="D544" s="41" t="n"/>
      <c r="E544" s="70" t="n"/>
      <c r="F544" s="71" t="n"/>
      <c r="G544" s="72" t="n"/>
      <c r="H544" s="73" t="n"/>
      <c r="I544" s="74">
        <f>IF(OR(E544="",F544=""),"",E544*F544)</f>
        <v/>
      </c>
      <c r="J544" s="75">
        <f>IF(I544="","",IF(D544="Buy",I544+N(G544),IF(D544="Sell",I544-N(G544),IF(D544="Dividend",I544-N(G544),I544+N(G544)))))</f>
        <v/>
      </c>
      <c r="K544" s="76">
        <f>IF(B544="","",DATE(YEAR(B544),MONTH(B544),1))</f>
        <v/>
      </c>
      <c r="L544" s="77">
        <f>IF(B544="","",YEAR(B544))</f>
        <v/>
      </c>
    </row>
    <row r="545" ht="19" customHeight="1">
      <c r="A545" s="69">
        <f>IF(B545="","",ROW()-5)</f>
        <v/>
      </c>
      <c r="B545" s="43" t="n"/>
      <c r="C545" s="41" t="n"/>
      <c r="D545" s="41" t="n"/>
      <c r="E545" s="70" t="n"/>
      <c r="F545" s="71" t="n"/>
      <c r="G545" s="72" t="n"/>
      <c r="H545" s="73" t="n"/>
      <c r="I545" s="74">
        <f>IF(OR(E545="",F545=""),"",E545*F545)</f>
        <v/>
      </c>
      <c r="J545" s="75">
        <f>IF(I545="","",IF(D545="Buy",I545+N(G545),IF(D545="Sell",I545-N(G545),IF(D545="Dividend",I545-N(G545),I545+N(G545)))))</f>
        <v/>
      </c>
      <c r="K545" s="76">
        <f>IF(B545="","",DATE(YEAR(B545),MONTH(B545),1))</f>
        <v/>
      </c>
      <c r="L545" s="77">
        <f>IF(B545="","",YEAR(B545))</f>
        <v/>
      </c>
    </row>
    <row r="546" ht="19" customHeight="1">
      <c r="A546" s="69">
        <f>IF(B546="","",ROW()-5)</f>
        <v/>
      </c>
      <c r="B546" s="43" t="n"/>
      <c r="C546" s="41" t="n"/>
      <c r="D546" s="41" t="n"/>
      <c r="E546" s="70" t="n"/>
      <c r="F546" s="71" t="n"/>
      <c r="G546" s="72" t="n"/>
      <c r="H546" s="73" t="n"/>
      <c r="I546" s="74">
        <f>IF(OR(E546="",F546=""),"",E546*F546)</f>
        <v/>
      </c>
      <c r="J546" s="75">
        <f>IF(I546="","",IF(D546="Buy",I546+N(G546),IF(D546="Sell",I546-N(G546),IF(D546="Dividend",I546-N(G546),I546+N(G546)))))</f>
        <v/>
      </c>
      <c r="K546" s="76">
        <f>IF(B546="","",DATE(YEAR(B546),MONTH(B546),1))</f>
        <v/>
      </c>
      <c r="L546" s="77">
        <f>IF(B546="","",YEAR(B546))</f>
        <v/>
      </c>
    </row>
    <row r="547" ht="19" customHeight="1">
      <c r="A547" s="69">
        <f>IF(B547="","",ROW()-5)</f>
        <v/>
      </c>
      <c r="B547" s="43" t="n"/>
      <c r="C547" s="41" t="n"/>
      <c r="D547" s="41" t="n"/>
      <c r="E547" s="70" t="n"/>
      <c r="F547" s="71" t="n"/>
      <c r="G547" s="72" t="n"/>
      <c r="H547" s="73" t="n"/>
      <c r="I547" s="74">
        <f>IF(OR(E547="",F547=""),"",E547*F547)</f>
        <v/>
      </c>
      <c r="J547" s="75">
        <f>IF(I547="","",IF(D547="Buy",I547+N(G547),IF(D547="Sell",I547-N(G547),IF(D547="Dividend",I547-N(G547),I547+N(G547)))))</f>
        <v/>
      </c>
      <c r="K547" s="76">
        <f>IF(B547="","",DATE(YEAR(B547),MONTH(B547),1))</f>
        <v/>
      </c>
      <c r="L547" s="77">
        <f>IF(B547="","",YEAR(B547))</f>
        <v/>
      </c>
    </row>
    <row r="548" ht="19" customHeight="1">
      <c r="A548" s="69">
        <f>IF(B548="","",ROW()-5)</f>
        <v/>
      </c>
      <c r="B548" s="43" t="n"/>
      <c r="C548" s="41" t="n"/>
      <c r="D548" s="41" t="n"/>
      <c r="E548" s="70" t="n"/>
      <c r="F548" s="71" t="n"/>
      <c r="G548" s="72" t="n"/>
      <c r="H548" s="73" t="n"/>
      <c r="I548" s="74">
        <f>IF(OR(E548="",F548=""),"",E548*F548)</f>
        <v/>
      </c>
      <c r="J548" s="75">
        <f>IF(I548="","",IF(D548="Buy",I548+N(G548),IF(D548="Sell",I548-N(G548),IF(D548="Dividend",I548-N(G548),I548+N(G548)))))</f>
        <v/>
      </c>
      <c r="K548" s="76">
        <f>IF(B548="","",DATE(YEAR(B548),MONTH(B548),1))</f>
        <v/>
      </c>
      <c r="L548" s="77">
        <f>IF(B548="","",YEAR(B548))</f>
        <v/>
      </c>
    </row>
    <row r="549" ht="19" customHeight="1">
      <c r="A549" s="69">
        <f>IF(B549="","",ROW()-5)</f>
        <v/>
      </c>
      <c r="B549" s="43" t="n"/>
      <c r="C549" s="41" t="n"/>
      <c r="D549" s="41" t="n"/>
      <c r="E549" s="70" t="n"/>
      <c r="F549" s="71" t="n"/>
      <c r="G549" s="72" t="n"/>
      <c r="H549" s="73" t="n"/>
      <c r="I549" s="74">
        <f>IF(OR(E549="",F549=""),"",E549*F549)</f>
        <v/>
      </c>
      <c r="J549" s="75">
        <f>IF(I549="","",IF(D549="Buy",I549+N(G549),IF(D549="Sell",I549-N(G549),IF(D549="Dividend",I549-N(G549),I549+N(G549)))))</f>
        <v/>
      </c>
      <c r="K549" s="76">
        <f>IF(B549="","",DATE(YEAR(B549),MONTH(B549),1))</f>
        <v/>
      </c>
      <c r="L549" s="77">
        <f>IF(B549="","",YEAR(B549))</f>
        <v/>
      </c>
    </row>
    <row r="550" ht="19" customHeight="1">
      <c r="A550" s="69">
        <f>IF(B550="","",ROW()-5)</f>
        <v/>
      </c>
      <c r="B550" s="43" t="n"/>
      <c r="C550" s="41" t="n"/>
      <c r="D550" s="41" t="n"/>
      <c r="E550" s="70" t="n"/>
      <c r="F550" s="71" t="n"/>
      <c r="G550" s="72" t="n"/>
      <c r="H550" s="73" t="n"/>
      <c r="I550" s="74">
        <f>IF(OR(E550="",F550=""),"",E550*F550)</f>
        <v/>
      </c>
      <c r="J550" s="75">
        <f>IF(I550="","",IF(D550="Buy",I550+N(G550),IF(D550="Sell",I550-N(G550),IF(D550="Dividend",I550-N(G550),I550+N(G550)))))</f>
        <v/>
      </c>
      <c r="K550" s="76">
        <f>IF(B550="","",DATE(YEAR(B550),MONTH(B550),1))</f>
        <v/>
      </c>
      <c r="L550" s="77">
        <f>IF(B550="","",YEAR(B550))</f>
        <v/>
      </c>
    </row>
    <row r="551" ht="19" customHeight="1">
      <c r="A551" s="69">
        <f>IF(B551="","",ROW()-5)</f>
        <v/>
      </c>
      <c r="B551" s="43" t="n"/>
      <c r="C551" s="41" t="n"/>
      <c r="D551" s="41" t="n"/>
      <c r="E551" s="70" t="n"/>
      <c r="F551" s="71" t="n"/>
      <c r="G551" s="72" t="n"/>
      <c r="H551" s="73" t="n"/>
      <c r="I551" s="74">
        <f>IF(OR(E551="",F551=""),"",E551*F551)</f>
        <v/>
      </c>
      <c r="J551" s="75">
        <f>IF(I551="","",IF(D551="Buy",I551+N(G551),IF(D551="Sell",I551-N(G551),IF(D551="Dividend",I551-N(G551),I551+N(G551)))))</f>
        <v/>
      </c>
      <c r="K551" s="76">
        <f>IF(B551="","",DATE(YEAR(B551),MONTH(B551),1))</f>
        <v/>
      </c>
      <c r="L551" s="77">
        <f>IF(B551="","",YEAR(B551))</f>
        <v/>
      </c>
    </row>
    <row r="552" ht="19" customHeight="1">
      <c r="A552" s="69">
        <f>IF(B552="","",ROW()-5)</f>
        <v/>
      </c>
      <c r="B552" s="43" t="n"/>
      <c r="C552" s="41" t="n"/>
      <c r="D552" s="41" t="n"/>
      <c r="E552" s="70" t="n"/>
      <c r="F552" s="71" t="n"/>
      <c r="G552" s="72" t="n"/>
      <c r="H552" s="73" t="n"/>
      <c r="I552" s="74">
        <f>IF(OR(E552="",F552=""),"",E552*F552)</f>
        <v/>
      </c>
      <c r="J552" s="75">
        <f>IF(I552="","",IF(D552="Buy",I552+N(G552),IF(D552="Sell",I552-N(G552),IF(D552="Dividend",I552-N(G552),I552+N(G552)))))</f>
        <v/>
      </c>
      <c r="K552" s="76">
        <f>IF(B552="","",DATE(YEAR(B552),MONTH(B552),1))</f>
        <v/>
      </c>
      <c r="L552" s="77">
        <f>IF(B552="","",YEAR(B552))</f>
        <v/>
      </c>
    </row>
    <row r="553" ht="19" customHeight="1">
      <c r="A553" s="69">
        <f>IF(B553="","",ROW()-5)</f>
        <v/>
      </c>
      <c r="B553" s="43" t="n"/>
      <c r="C553" s="41" t="n"/>
      <c r="D553" s="41" t="n"/>
      <c r="E553" s="70" t="n"/>
      <c r="F553" s="71" t="n"/>
      <c r="G553" s="72" t="n"/>
      <c r="H553" s="73" t="n"/>
      <c r="I553" s="74">
        <f>IF(OR(E553="",F553=""),"",E553*F553)</f>
        <v/>
      </c>
      <c r="J553" s="75">
        <f>IF(I553="","",IF(D553="Buy",I553+N(G553),IF(D553="Sell",I553-N(G553),IF(D553="Dividend",I553-N(G553),I553+N(G553)))))</f>
        <v/>
      </c>
      <c r="K553" s="76">
        <f>IF(B553="","",DATE(YEAR(B553),MONTH(B553),1))</f>
        <v/>
      </c>
      <c r="L553" s="77">
        <f>IF(B553="","",YEAR(B553))</f>
        <v/>
      </c>
    </row>
    <row r="554" ht="19" customHeight="1">
      <c r="A554" s="69">
        <f>IF(B554="","",ROW()-5)</f>
        <v/>
      </c>
      <c r="B554" s="43" t="n"/>
      <c r="C554" s="41" t="n"/>
      <c r="D554" s="41" t="n"/>
      <c r="E554" s="70" t="n"/>
      <c r="F554" s="71" t="n"/>
      <c r="G554" s="72" t="n"/>
      <c r="H554" s="73" t="n"/>
      <c r="I554" s="74">
        <f>IF(OR(E554="",F554=""),"",E554*F554)</f>
        <v/>
      </c>
      <c r="J554" s="75">
        <f>IF(I554="","",IF(D554="Buy",I554+N(G554),IF(D554="Sell",I554-N(G554),IF(D554="Dividend",I554-N(G554),I554+N(G554)))))</f>
        <v/>
      </c>
      <c r="K554" s="76">
        <f>IF(B554="","",DATE(YEAR(B554),MONTH(B554),1))</f>
        <v/>
      </c>
      <c r="L554" s="77">
        <f>IF(B554="","",YEAR(B554))</f>
        <v/>
      </c>
    </row>
    <row r="555" ht="19" customHeight="1">
      <c r="A555" s="69">
        <f>IF(B555="","",ROW()-5)</f>
        <v/>
      </c>
      <c r="B555" s="43" t="n"/>
      <c r="C555" s="41" t="n"/>
      <c r="D555" s="41" t="n"/>
      <c r="E555" s="70" t="n"/>
      <c r="F555" s="71" t="n"/>
      <c r="G555" s="72" t="n"/>
      <c r="H555" s="73" t="n"/>
      <c r="I555" s="74">
        <f>IF(OR(E555="",F555=""),"",E555*F555)</f>
        <v/>
      </c>
      <c r="J555" s="75">
        <f>IF(I555="","",IF(D555="Buy",I555+N(G555),IF(D555="Sell",I555-N(G555),IF(D555="Dividend",I555-N(G555),I555+N(G555)))))</f>
        <v/>
      </c>
      <c r="K555" s="76">
        <f>IF(B555="","",DATE(YEAR(B555),MONTH(B555),1))</f>
        <v/>
      </c>
      <c r="L555" s="77">
        <f>IF(B555="","",YEAR(B555))</f>
        <v/>
      </c>
    </row>
    <row r="556" ht="19" customHeight="1">
      <c r="A556" s="69">
        <f>IF(B556="","",ROW()-5)</f>
        <v/>
      </c>
      <c r="B556" s="43" t="n"/>
      <c r="C556" s="41" t="n"/>
      <c r="D556" s="41" t="n"/>
      <c r="E556" s="70" t="n"/>
      <c r="F556" s="71" t="n"/>
      <c r="G556" s="72" t="n"/>
      <c r="H556" s="73" t="n"/>
      <c r="I556" s="74">
        <f>IF(OR(E556="",F556=""),"",E556*F556)</f>
        <v/>
      </c>
      <c r="J556" s="75">
        <f>IF(I556="","",IF(D556="Buy",I556+N(G556),IF(D556="Sell",I556-N(G556),IF(D556="Dividend",I556-N(G556),I556+N(G556)))))</f>
        <v/>
      </c>
      <c r="K556" s="76">
        <f>IF(B556="","",DATE(YEAR(B556),MONTH(B556),1))</f>
        <v/>
      </c>
      <c r="L556" s="77">
        <f>IF(B556="","",YEAR(B556))</f>
        <v/>
      </c>
    </row>
    <row r="557" ht="19" customHeight="1">
      <c r="A557" s="69">
        <f>IF(B557="","",ROW()-5)</f>
        <v/>
      </c>
      <c r="B557" s="43" t="n"/>
      <c r="C557" s="41" t="n"/>
      <c r="D557" s="41" t="n"/>
      <c r="E557" s="70" t="n"/>
      <c r="F557" s="71" t="n"/>
      <c r="G557" s="72" t="n"/>
      <c r="H557" s="73" t="n"/>
      <c r="I557" s="74">
        <f>IF(OR(E557="",F557=""),"",E557*F557)</f>
        <v/>
      </c>
      <c r="J557" s="75">
        <f>IF(I557="","",IF(D557="Buy",I557+N(G557),IF(D557="Sell",I557-N(G557),IF(D557="Dividend",I557-N(G557),I557+N(G557)))))</f>
        <v/>
      </c>
      <c r="K557" s="76">
        <f>IF(B557="","",DATE(YEAR(B557),MONTH(B557),1))</f>
        <v/>
      </c>
      <c r="L557" s="77">
        <f>IF(B557="","",YEAR(B557))</f>
        <v/>
      </c>
    </row>
    <row r="558" ht="19" customHeight="1">
      <c r="A558" s="69">
        <f>IF(B558="","",ROW()-5)</f>
        <v/>
      </c>
      <c r="B558" s="43" t="n"/>
      <c r="C558" s="41" t="n"/>
      <c r="D558" s="41" t="n"/>
      <c r="E558" s="70" t="n"/>
      <c r="F558" s="71" t="n"/>
      <c r="G558" s="72" t="n"/>
      <c r="H558" s="73" t="n"/>
      <c r="I558" s="74">
        <f>IF(OR(E558="",F558=""),"",E558*F558)</f>
        <v/>
      </c>
      <c r="J558" s="75">
        <f>IF(I558="","",IF(D558="Buy",I558+N(G558),IF(D558="Sell",I558-N(G558),IF(D558="Dividend",I558-N(G558),I558+N(G558)))))</f>
        <v/>
      </c>
      <c r="K558" s="76">
        <f>IF(B558="","",DATE(YEAR(B558),MONTH(B558),1))</f>
        <v/>
      </c>
      <c r="L558" s="77">
        <f>IF(B558="","",YEAR(B558))</f>
        <v/>
      </c>
    </row>
    <row r="559" ht="19" customHeight="1">
      <c r="A559" s="69">
        <f>IF(B559="","",ROW()-5)</f>
        <v/>
      </c>
      <c r="B559" s="43" t="n"/>
      <c r="C559" s="41" t="n"/>
      <c r="D559" s="41" t="n"/>
      <c r="E559" s="70" t="n"/>
      <c r="F559" s="71" t="n"/>
      <c r="G559" s="72" t="n"/>
      <c r="H559" s="73" t="n"/>
      <c r="I559" s="74">
        <f>IF(OR(E559="",F559=""),"",E559*F559)</f>
        <v/>
      </c>
      <c r="J559" s="75">
        <f>IF(I559="","",IF(D559="Buy",I559+N(G559),IF(D559="Sell",I559-N(G559),IF(D559="Dividend",I559-N(G559),I559+N(G559)))))</f>
        <v/>
      </c>
      <c r="K559" s="76">
        <f>IF(B559="","",DATE(YEAR(B559),MONTH(B559),1))</f>
        <v/>
      </c>
      <c r="L559" s="77">
        <f>IF(B559="","",YEAR(B559))</f>
        <v/>
      </c>
    </row>
    <row r="560" ht="19" customHeight="1">
      <c r="A560" s="69">
        <f>IF(B560="","",ROW()-5)</f>
        <v/>
      </c>
      <c r="B560" s="43" t="n"/>
      <c r="C560" s="41" t="n"/>
      <c r="D560" s="41" t="n"/>
      <c r="E560" s="70" t="n"/>
      <c r="F560" s="71" t="n"/>
      <c r="G560" s="72" t="n"/>
      <c r="H560" s="73" t="n"/>
      <c r="I560" s="74">
        <f>IF(OR(E560="",F560=""),"",E560*F560)</f>
        <v/>
      </c>
      <c r="J560" s="75">
        <f>IF(I560="","",IF(D560="Buy",I560+N(G560),IF(D560="Sell",I560-N(G560),IF(D560="Dividend",I560-N(G560),I560+N(G560)))))</f>
        <v/>
      </c>
      <c r="K560" s="76">
        <f>IF(B560="","",DATE(YEAR(B560),MONTH(B560),1))</f>
        <v/>
      </c>
      <c r="L560" s="77">
        <f>IF(B560="","",YEAR(B560))</f>
        <v/>
      </c>
    </row>
    <row r="561" ht="19" customHeight="1">
      <c r="A561" s="69">
        <f>IF(B561="","",ROW()-5)</f>
        <v/>
      </c>
      <c r="B561" s="43" t="n"/>
      <c r="C561" s="41" t="n"/>
      <c r="D561" s="41" t="n"/>
      <c r="E561" s="70" t="n"/>
      <c r="F561" s="71" t="n"/>
      <c r="G561" s="72" t="n"/>
      <c r="H561" s="73" t="n"/>
      <c r="I561" s="74">
        <f>IF(OR(E561="",F561=""),"",E561*F561)</f>
        <v/>
      </c>
      <c r="J561" s="75">
        <f>IF(I561="","",IF(D561="Buy",I561+N(G561),IF(D561="Sell",I561-N(G561),IF(D561="Dividend",I561-N(G561),I561+N(G561)))))</f>
        <v/>
      </c>
      <c r="K561" s="76">
        <f>IF(B561="","",DATE(YEAR(B561),MONTH(B561),1))</f>
        <v/>
      </c>
      <c r="L561" s="77">
        <f>IF(B561="","",YEAR(B561))</f>
        <v/>
      </c>
    </row>
    <row r="562" ht="19" customHeight="1">
      <c r="A562" s="69">
        <f>IF(B562="","",ROW()-5)</f>
        <v/>
      </c>
      <c r="B562" s="43" t="n"/>
      <c r="C562" s="41" t="n"/>
      <c r="D562" s="41" t="n"/>
      <c r="E562" s="70" t="n"/>
      <c r="F562" s="71" t="n"/>
      <c r="G562" s="72" t="n"/>
      <c r="H562" s="73" t="n"/>
      <c r="I562" s="74">
        <f>IF(OR(E562="",F562=""),"",E562*F562)</f>
        <v/>
      </c>
      <c r="J562" s="75">
        <f>IF(I562="","",IF(D562="Buy",I562+N(G562),IF(D562="Sell",I562-N(G562),IF(D562="Dividend",I562-N(G562),I562+N(G562)))))</f>
        <v/>
      </c>
      <c r="K562" s="76">
        <f>IF(B562="","",DATE(YEAR(B562),MONTH(B562),1))</f>
        <v/>
      </c>
      <c r="L562" s="77">
        <f>IF(B562="","",YEAR(B562))</f>
        <v/>
      </c>
    </row>
    <row r="563" ht="19" customHeight="1">
      <c r="A563" s="69">
        <f>IF(B563="","",ROW()-5)</f>
        <v/>
      </c>
      <c r="B563" s="43" t="n"/>
      <c r="C563" s="41" t="n"/>
      <c r="D563" s="41" t="n"/>
      <c r="E563" s="70" t="n"/>
      <c r="F563" s="71" t="n"/>
      <c r="G563" s="72" t="n"/>
      <c r="H563" s="73" t="n"/>
      <c r="I563" s="74">
        <f>IF(OR(E563="",F563=""),"",E563*F563)</f>
        <v/>
      </c>
      <c r="J563" s="75">
        <f>IF(I563="","",IF(D563="Buy",I563+N(G563),IF(D563="Sell",I563-N(G563),IF(D563="Dividend",I563-N(G563),I563+N(G563)))))</f>
        <v/>
      </c>
      <c r="K563" s="76">
        <f>IF(B563="","",DATE(YEAR(B563),MONTH(B563),1))</f>
        <v/>
      </c>
      <c r="L563" s="77">
        <f>IF(B563="","",YEAR(B563))</f>
        <v/>
      </c>
    </row>
    <row r="564" ht="19" customHeight="1">
      <c r="A564" s="69">
        <f>IF(B564="","",ROW()-5)</f>
        <v/>
      </c>
      <c r="B564" s="43" t="n"/>
      <c r="C564" s="41" t="n"/>
      <c r="D564" s="41" t="n"/>
      <c r="E564" s="70" t="n"/>
      <c r="F564" s="71" t="n"/>
      <c r="G564" s="72" t="n"/>
      <c r="H564" s="73" t="n"/>
      <c r="I564" s="74">
        <f>IF(OR(E564="",F564=""),"",E564*F564)</f>
        <v/>
      </c>
      <c r="J564" s="75">
        <f>IF(I564="","",IF(D564="Buy",I564+N(G564),IF(D564="Sell",I564-N(G564),IF(D564="Dividend",I564-N(G564),I564+N(G564)))))</f>
        <v/>
      </c>
      <c r="K564" s="76">
        <f>IF(B564="","",DATE(YEAR(B564),MONTH(B564),1))</f>
        <v/>
      </c>
      <c r="L564" s="77">
        <f>IF(B564="","",YEAR(B564))</f>
        <v/>
      </c>
    </row>
    <row r="565" ht="19" customHeight="1">
      <c r="A565" s="69">
        <f>IF(B565="","",ROW()-5)</f>
        <v/>
      </c>
      <c r="B565" s="43" t="n"/>
      <c r="C565" s="41" t="n"/>
      <c r="D565" s="41" t="n"/>
      <c r="E565" s="70" t="n"/>
      <c r="F565" s="71" t="n"/>
      <c r="G565" s="72" t="n"/>
      <c r="H565" s="73" t="n"/>
      <c r="I565" s="74">
        <f>IF(OR(E565="",F565=""),"",E565*F565)</f>
        <v/>
      </c>
      <c r="J565" s="75">
        <f>IF(I565="","",IF(D565="Buy",I565+N(G565),IF(D565="Sell",I565-N(G565),IF(D565="Dividend",I565-N(G565),I565+N(G565)))))</f>
        <v/>
      </c>
      <c r="K565" s="76">
        <f>IF(B565="","",DATE(YEAR(B565),MONTH(B565),1))</f>
        <v/>
      </c>
      <c r="L565" s="77">
        <f>IF(B565="","",YEAR(B565))</f>
        <v/>
      </c>
    </row>
    <row r="566" ht="19" customHeight="1">
      <c r="A566" s="69">
        <f>IF(B566="","",ROW()-5)</f>
        <v/>
      </c>
      <c r="B566" s="43" t="n"/>
      <c r="C566" s="41" t="n"/>
      <c r="D566" s="41" t="n"/>
      <c r="E566" s="70" t="n"/>
      <c r="F566" s="71" t="n"/>
      <c r="G566" s="72" t="n"/>
      <c r="H566" s="73" t="n"/>
      <c r="I566" s="74">
        <f>IF(OR(E566="",F566=""),"",E566*F566)</f>
        <v/>
      </c>
      <c r="J566" s="75">
        <f>IF(I566="","",IF(D566="Buy",I566+N(G566),IF(D566="Sell",I566-N(G566),IF(D566="Dividend",I566-N(G566),I566+N(G566)))))</f>
        <v/>
      </c>
      <c r="K566" s="76">
        <f>IF(B566="","",DATE(YEAR(B566),MONTH(B566),1))</f>
        <v/>
      </c>
      <c r="L566" s="77">
        <f>IF(B566="","",YEAR(B566))</f>
        <v/>
      </c>
    </row>
    <row r="567" ht="19" customHeight="1">
      <c r="A567" s="69">
        <f>IF(B567="","",ROW()-5)</f>
        <v/>
      </c>
      <c r="B567" s="43" t="n"/>
      <c r="C567" s="41" t="n"/>
      <c r="D567" s="41" t="n"/>
      <c r="E567" s="70" t="n"/>
      <c r="F567" s="71" t="n"/>
      <c r="G567" s="72" t="n"/>
      <c r="H567" s="73" t="n"/>
      <c r="I567" s="74">
        <f>IF(OR(E567="",F567=""),"",E567*F567)</f>
        <v/>
      </c>
      <c r="J567" s="75">
        <f>IF(I567="","",IF(D567="Buy",I567+N(G567),IF(D567="Sell",I567-N(G567),IF(D567="Dividend",I567-N(G567),I567+N(G567)))))</f>
        <v/>
      </c>
      <c r="K567" s="76">
        <f>IF(B567="","",DATE(YEAR(B567),MONTH(B567),1))</f>
        <v/>
      </c>
      <c r="L567" s="77">
        <f>IF(B567="","",YEAR(B567))</f>
        <v/>
      </c>
    </row>
    <row r="568" ht="19" customHeight="1">
      <c r="A568" s="69">
        <f>IF(B568="","",ROW()-5)</f>
        <v/>
      </c>
      <c r="B568" s="43" t="n"/>
      <c r="C568" s="41" t="n"/>
      <c r="D568" s="41" t="n"/>
      <c r="E568" s="70" t="n"/>
      <c r="F568" s="71" t="n"/>
      <c r="G568" s="72" t="n"/>
      <c r="H568" s="73" t="n"/>
      <c r="I568" s="74">
        <f>IF(OR(E568="",F568=""),"",E568*F568)</f>
        <v/>
      </c>
      <c r="J568" s="75">
        <f>IF(I568="","",IF(D568="Buy",I568+N(G568),IF(D568="Sell",I568-N(G568),IF(D568="Dividend",I568-N(G568),I568+N(G568)))))</f>
        <v/>
      </c>
      <c r="K568" s="76">
        <f>IF(B568="","",DATE(YEAR(B568),MONTH(B568),1))</f>
        <v/>
      </c>
      <c r="L568" s="77">
        <f>IF(B568="","",YEAR(B568))</f>
        <v/>
      </c>
    </row>
    <row r="569" ht="19" customHeight="1">
      <c r="A569" s="69">
        <f>IF(B569="","",ROW()-5)</f>
        <v/>
      </c>
      <c r="B569" s="43" t="n"/>
      <c r="C569" s="41" t="n"/>
      <c r="D569" s="41" t="n"/>
      <c r="E569" s="70" t="n"/>
      <c r="F569" s="71" t="n"/>
      <c r="G569" s="72" t="n"/>
      <c r="H569" s="73" t="n"/>
      <c r="I569" s="74">
        <f>IF(OR(E569="",F569=""),"",E569*F569)</f>
        <v/>
      </c>
      <c r="J569" s="75">
        <f>IF(I569="","",IF(D569="Buy",I569+N(G569),IF(D569="Sell",I569-N(G569),IF(D569="Dividend",I569-N(G569),I569+N(G569)))))</f>
        <v/>
      </c>
      <c r="K569" s="76">
        <f>IF(B569="","",DATE(YEAR(B569),MONTH(B569),1))</f>
        <v/>
      </c>
      <c r="L569" s="77">
        <f>IF(B569="","",YEAR(B569))</f>
        <v/>
      </c>
    </row>
    <row r="570" ht="19" customHeight="1">
      <c r="A570" s="69">
        <f>IF(B570="","",ROW()-5)</f>
        <v/>
      </c>
      <c r="B570" s="43" t="n"/>
      <c r="C570" s="41" t="n"/>
      <c r="D570" s="41" t="n"/>
      <c r="E570" s="70" t="n"/>
      <c r="F570" s="71" t="n"/>
      <c r="G570" s="72" t="n"/>
      <c r="H570" s="73" t="n"/>
      <c r="I570" s="74">
        <f>IF(OR(E570="",F570=""),"",E570*F570)</f>
        <v/>
      </c>
      <c r="J570" s="75">
        <f>IF(I570="","",IF(D570="Buy",I570+N(G570),IF(D570="Sell",I570-N(G570),IF(D570="Dividend",I570-N(G570),I570+N(G570)))))</f>
        <v/>
      </c>
      <c r="K570" s="76">
        <f>IF(B570="","",DATE(YEAR(B570),MONTH(B570),1))</f>
        <v/>
      </c>
      <c r="L570" s="77">
        <f>IF(B570="","",YEAR(B570))</f>
        <v/>
      </c>
    </row>
    <row r="571" ht="19" customHeight="1">
      <c r="A571" s="69">
        <f>IF(B571="","",ROW()-5)</f>
        <v/>
      </c>
      <c r="B571" s="43" t="n"/>
      <c r="C571" s="41" t="n"/>
      <c r="D571" s="41" t="n"/>
      <c r="E571" s="70" t="n"/>
      <c r="F571" s="71" t="n"/>
      <c r="G571" s="72" t="n"/>
      <c r="H571" s="73" t="n"/>
      <c r="I571" s="74">
        <f>IF(OR(E571="",F571=""),"",E571*F571)</f>
        <v/>
      </c>
      <c r="J571" s="75">
        <f>IF(I571="","",IF(D571="Buy",I571+N(G571),IF(D571="Sell",I571-N(G571),IF(D571="Dividend",I571-N(G571),I571+N(G571)))))</f>
        <v/>
      </c>
      <c r="K571" s="76">
        <f>IF(B571="","",DATE(YEAR(B571),MONTH(B571),1))</f>
        <v/>
      </c>
      <c r="L571" s="77">
        <f>IF(B571="","",YEAR(B571))</f>
        <v/>
      </c>
    </row>
    <row r="572" ht="19" customHeight="1">
      <c r="A572" s="69">
        <f>IF(B572="","",ROW()-5)</f>
        <v/>
      </c>
      <c r="B572" s="43" t="n"/>
      <c r="C572" s="41" t="n"/>
      <c r="D572" s="41" t="n"/>
      <c r="E572" s="70" t="n"/>
      <c r="F572" s="71" t="n"/>
      <c r="G572" s="72" t="n"/>
      <c r="H572" s="73" t="n"/>
      <c r="I572" s="74">
        <f>IF(OR(E572="",F572=""),"",E572*F572)</f>
        <v/>
      </c>
      <c r="J572" s="75">
        <f>IF(I572="","",IF(D572="Buy",I572+N(G572),IF(D572="Sell",I572-N(G572),IF(D572="Dividend",I572-N(G572),I572+N(G572)))))</f>
        <v/>
      </c>
      <c r="K572" s="76">
        <f>IF(B572="","",DATE(YEAR(B572),MONTH(B572),1))</f>
        <v/>
      </c>
      <c r="L572" s="77">
        <f>IF(B572="","",YEAR(B572))</f>
        <v/>
      </c>
    </row>
    <row r="573" ht="19" customHeight="1">
      <c r="A573" s="69">
        <f>IF(B573="","",ROW()-5)</f>
        <v/>
      </c>
      <c r="B573" s="43" t="n"/>
      <c r="C573" s="41" t="n"/>
      <c r="D573" s="41" t="n"/>
      <c r="E573" s="70" t="n"/>
      <c r="F573" s="71" t="n"/>
      <c r="G573" s="72" t="n"/>
      <c r="H573" s="73" t="n"/>
      <c r="I573" s="74">
        <f>IF(OR(E573="",F573=""),"",E573*F573)</f>
        <v/>
      </c>
      <c r="J573" s="75">
        <f>IF(I573="","",IF(D573="Buy",I573+N(G573),IF(D573="Sell",I573-N(G573),IF(D573="Dividend",I573-N(G573),I573+N(G573)))))</f>
        <v/>
      </c>
      <c r="K573" s="76">
        <f>IF(B573="","",DATE(YEAR(B573),MONTH(B573),1))</f>
        <v/>
      </c>
      <c r="L573" s="77">
        <f>IF(B573="","",YEAR(B573))</f>
        <v/>
      </c>
    </row>
    <row r="574" ht="19" customHeight="1">
      <c r="A574" s="69">
        <f>IF(B574="","",ROW()-5)</f>
        <v/>
      </c>
      <c r="B574" s="43" t="n"/>
      <c r="C574" s="41" t="n"/>
      <c r="D574" s="41" t="n"/>
      <c r="E574" s="70" t="n"/>
      <c r="F574" s="71" t="n"/>
      <c r="G574" s="72" t="n"/>
      <c r="H574" s="73" t="n"/>
      <c r="I574" s="74">
        <f>IF(OR(E574="",F574=""),"",E574*F574)</f>
        <v/>
      </c>
      <c r="J574" s="75">
        <f>IF(I574="","",IF(D574="Buy",I574+N(G574),IF(D574="Sell",I574-N(G574),IF(D574="Dividend",I574-N(G574),I574+N(G574)))))</f>
        <v/>
      </c>
      <c r="K574" s="76">
        <f>IF(B574="","",DATE(YEAR(B574),MONTH(B574),1))</f>
        <v/>
      </c>
      <c r="L574" s="77">
        <f>IF(B574="","",YEAR(B574))</f>
        <v/>
      </c>
    </row>
    <row r="575" ht="19" customHeight="1">
      <c r="A575" s="69">
        <f>IF(B575="","",ROW()-5)</f>
        <v/>
      </c>
      <c r="B575" s="43" t="n"/>
      <c r="C575" s="41" t="n"/>
      <c r="D575" s="41" t="n"/>
      <c r="E575" s="70" t="n"/>
      <c r="F575" s="71" t="n"/>
      <c r="G575" s="72" t="n"/>
      <c r="H575" s="73" t="n"/>
      <c r="I575" s="74">
        <f>IF(OR(E575="",F575=""),"",E575*F575)</f>
        <v/>
      </c>
      <c r="J575" s="75">
        <f>IF(I575="","",IF(D575="Buy",I575+N(G575),IF(D575="Sell",I575-N(G575),IF(D575="Dividend",I575-N(G575),I575+N(G575)))))</f>
        <v/>
      </c>
      <c r="K575" s="76">
        <f>IF(B575="","",DATE(YEAR(B575),MONTH(B575),1))</f>
        <v/>
      </c>
      <c r="L575" s="77">
        <f>IF(B575="","",YEAR(B575))</f>
        <v/>
      </c>
    </row>
    <row r="576" ht="19" customHeight="1">
      <c r="A576" s="69">
        <f>IF(B576="","",ROW()-5)</f>
        <v/>
      </c>
      <c r="B576" s="43" t="n"/>
      <c r="C576" s="41" t="n"/>
      <c r="D576" s="41" t="n"/>
      <c r="E576" s="70" t="n"/>
      <c r="F576" s="71" t="n"/>
      <c r="G576" s="72" t="n"/>
      <c r="H576" s="73" t="n"/>
      <c r="I576" s="74">
        <f>IF(OR(E576="",F576=""),"",E576*F576)</f>
        <v/>
      </c>
      <c r="J576" s="75">
        <f>IF(I576="","",IF(D576="Buy",I576+N(G576),IF(D576="Sell",I576-N(G576),IF(D576="Dividend",I576-N(G576),I576+N(G576)))))</f>
        <v/>
      </c>
      <c r="K576" s="76">
        <f>IF(B576="","",DATE(YEAR(B576),MONTH(B576),1))</f>
        <v/>
      </c>
      <c r="L576" s="77">
        <f>IF(B576="","",YEAR(B576))</f>
        <v/>
      </c>
    </row>
    <row r="577" ht="19" customHeight="1">
      <c r="A577" s="69">
        <f>IF(B577="","",ROW()-5)</f>
        <v/>
      </c>
      <c r="B577" s="43" t="n"/>
      <c r="C577" s="41" t="n"/>
      <c r="D577" s="41" t="n"/>
      <c r="E577" s="70" t="n"/>
      <c r="F577" s="71" t="n"/>
      <c r="G577" s="72" t="n"/>
      <c r="H577" s="73" t="n"/>
      <c r="I577" s="74">
        <f>IF(OR(E577="",F577=""),"",E577*F577)</f>
        <v/>
      </c>
      <c r="J577" s="75">
        <f>IF(I577="","",IF(D577="Buy",I577+N(G577),IF(D577="Sell",I577-N(G577),IF(D577="Dividend",I577-N(G577),I577+N(G577)))))</f>
        <v/>
      </c>
      <c r="K577" s="76">
        <f>IF(B577="","",DATE(YEAR(B577),MONTH(B577),1))</f>
        <v/>
      </c>
      <c r="L577" s="77">
        <f>IF(B577="","",YEAR(B577))</f>
        <v/>
      </c>
    </row>
    <row r="578" ht="19" customHeight="1">
      <c r="A578" s="69">
        <f>IF(B578="","",ROW()-5)</f>
        <v/>
      </c>
      <c r="B578" s="43" t="n"/>
      <c r="C578" s="41" t="n"/>
      <c r="D578" s="41" t="n"/>
      <c r="E578" s="70" t="n"/>
      <c r="F578" s="71" t="n"/>
      <c r="G578" s="72" t="n"/>
      <c r="H578" s="73" t="n"/>
      <c r="I578" s="74">
        <f>IF(OR(E578="",F578=""),"",E578*F578)</f>
        <v/>
      </c>
      <c r="J578" s="75">
        <f>IF(I578="","",IF(D578="Buy",I578+N(G578),IF(D578="Sell",I578-N(G578),IF(D578="Dividend",I578-N(G578),I578+N(G578)))))</f>
        <v/>
      </c>
      <c r="K578" s="76">
        <f>IF(B578="","",DATE(YEAR(B578),MONTH(B578),1))</f>
        <v/>
      </c>
      <c r="L578" s="77">
        <f>IF(B578="","",YEAR(B578))</f>
        <v/>
      </c>
    </row>
    <row r="579" ht="19" customHeight="1">
      <c r="A579" s="69">
        <f>IF(B579="","",ROW()-5)</f>
        <v/>
      </c>
      <c r="B579" s="43" t="n"/>
      <c r="C579" s="41" t="n"/>
      <c r="D579" s="41" t="n"/>
      <c r="E579" s="70" t="n"/>
      <c r="F579" s="71" t="n"/>
      <c r="G579" s="72" t="n"/>
      <c r="H579" s="73" t="n"/>
      <c r="I579" s="74">
        <f>IF(OR(E579="",F579=""),"",E579*F579)</f>
        <v/>
      </c>
      <c r="J579" s="75">
        <f>IF(I579="","",IF(D579="Buy",I579+N(G579),IF(D579="Sell",I579-N(G579),IF(D579="Dividend",I579-N(G579),I579+N(G579)))))</f>
        <v/>
      </c>
      <c r="K579" s="76">
        <f>IF(B579="","",DATE(YEAR(B579),MONTH(B579),1))</f>
        <v/>
      </c>
      <c r="L579" s="77">
        <f>IF(B579="","",YEAR(B579))</f>
        <v/>
      </c>
    </row>
    <row r="580" ht="19" customHeight="1">
      <c r="A580" s="69">
        <f>IF(B580="","",ROW()-5)</f>
        <v/>
      </c>
      <c r="B580" s="43" t="n"/>
      <c r="C580" s="41" t="n"/>
      <c r="D580" s="41" t="n"/>
      <c r="E580" s="70" t="n"/>
      <c r="F580" s="71" t="n"/>
      <c r="G580" s="72" t="n"/>
      <c r="H580" s="73" t="n"/>
      <c r="I580" s="74">
        <f>IF(OR(E580="",F580=""),"",E580*F580)</f>
        <v/>
      </c>
      <c r="J580" s="75">
        <f>IF(I580="","",IF(D580="Buy",I580+N(G580),IF(D580="Sell",I580-N(G580),IF(D580="Dividend",I580-N(G580),I580+N(G580)))))</f>
        <v/>
      </c>
      <c r="K580" s="76">
        <f>IF(B580="","",DATE(YEAR(B580),MONTH(B580),1))</f>
        <v/>
      </c>
      <c r="L580" s="77">
        <f>IF(B580="","",YEAR(B580))</f>
        <v/>
      </c>
    </row>
    <row r="581" ht="19" customHeight="1">
      <c r="A581" s="69">
        <f>IF(B581="","",ROW()-5)</f>
        <v/>
      </c>
      <c r="B581" s="43" t="n"/>
      <c r="C581" s="41" t="n"/>
      <c r="D581" s="41" t="n"/>
      <c r="E581" s="70" t="n"/>
      <c r="F581" s="71" t="n"/>
      <c r="G581" s="72" t="n"/>
      <c r="H581" s="73" t="n"/>
      <c r="I581" s="74">
        <f>IF(OR(E581="",F581=""),"",E581*F581)</f>
        <v/>
      </c>
      <c r="J581" s="75">
        <f>IF(I581="","",IF(D581="Buy",I581+N(G581),IF(D581="Sell",I581-N(G581),IF(D581="Dividend",I581-N(G581),I581+N(G581)))))</f>
        <v/>
      </c>
      <c r="K581" s="76">
        <f>IF(B581="","",DATE(YEAR(B581),MONTH(B581),1))</f>
        <v/>
      </c>
      <c r="L581" s="77">
        <f>IF(B581="","",YEAR(B581))</f>
        <v/>
      </c>
    </row>
    <row r="582" ht="19" customHeight="1">
      <c r="A582" s="69">
        <f>IF(B582="","",ROW()-5)</f>
        <v/>
      </c>
      <c r="B582" s="43" t="n"/>
      <c r="C582" s="41" t="n"/>
      <c r="D582" s="41" t="n"/>
      <c r="E582" s="70" t="n"/>
      <c r="F582" s="71" t="n"/>
      <c r="G582" s="72" t="n"/>
      <c r="H582" s="73" t="n"/>
      <c r="I582" s="74">
        <f>IF(OR(E582="",F582=""),"",E582*F582)</f>
        <v/>
      </c>
      <c r="J582" s="75">
        <f>IF(I582="","",IF(D582="Buy",I582+N(G582),IF(D582="Sell",I582-N(G582),IF(D582="Dividend",I582-N(G582),I582+N(G582)))))</f>
        <v/>
      </c>
      <c r="K582" s="76">
        <f>IF(B582="","",DATE(YEAR(B582),MONTH(B582),1))</f>
        <v/>
      </c>
      <c r="L582" s="77">
        <f>IF(B582="","",YEAR(B582))</f>
        <v/>
      </c>
    </row>
    <row r="583" ht="19" customHeight="1">
      <c r="A583" s="69">
        <f>IF(B583="","",ROW()-5)</f>
        <v/>
      </c>
      <c r="B583" s="43" t="n"/>
      <c r="C583" s="41" t="n"/>
      <c r="D583" s="41" t="n"/>
      <c r="E583" s="70" t="n"/>
      <c r="F583" s="71" t="n"/>
      <c r="G583" s="72" t="n"/>
      <c r="H583" s="73" t="n"/>
      <c r="I583" s="74">
        <f>IF(OR(E583="",F583=""),"",E583*F583)</f>
        <v/>
      </c>
      <c r="J583" s="75">
        <f>IF(I583="","",IF(D583="Buy",I583+N(G583),IF(D583="Sell",I583-N(G583),IF(D583="Dividend",I583-N(G583),I583+N(G583)))))</f>
        <v/>
      </c>
      <c r="K583" s="76">
        <f>IF(B583="","",DATE(YEAR(B583),MONTH(B583),1))</f>
        <v/>
      </c>
      <c r="L583" s="77">
        <f>IF(B583="","",YEAR(B583))</f>
        <v/>
      </c>
    </row>
    <row r="584" ht="19" customHeight="1">
      <c r="A584" s="69">
        <f>IF(B584="","",ROW()-5)</f>
        <v/>
      </c>
      <c r="B584" s="43" t="n"/>
      <c r="C584" s="41" t="n"/>
      <c r="D584" s="41" t="n"/>
      <c r="E584" s="70" t="n"/>
      <c r="F584" s="71" t="n"/>
      <c r="G584" s="72" t="n"/>
      <c r="H584" s="73" t="n"/>
      <c r="I584" s="74">
        <f>IF(OR(E584="",F584=""),"",E584*F584)</f>
        <v/>
      </c>
      <c r="J584" s="75">
        <f>IF(I584="","",IF(D584="Buy",I584+N(G584),IF(D584="Sell",I584-N(G584),IF(D584="Dividend",I584-N(G584),I584+N(G584)))))</f>
        <v/>
      </c>
      <c r="K584" s="76">
        <f>IF(B584="","",DATE(YEAR(B584),MONTH(B584),1))</f>
        <v/>
      </c>
      <c r="L584" s="77">
        <f>IF(B584="","",YEAR(B584))</f>
        <v/>
      </c>
    </row>
    <row r="585" ht="19" customHeight="1">
      <c r="A585" s="69">
        <f>IF(B585="","",ROW()-5)</f>
        <v/>
      </c>
      <c r="B585" s="43" t="n"/>
      <c r="C585" s="41" t="n"/>
      <c r="D585" s="41" t="n"/>
      <c r="E585" s="70" t="n"/>
      <c r="F585" s="71" t="n"/>
      <c r="G585" s="72" t="n"/>
      <c r="H585" s="73" t="n"/>
      <c r="I585" s="74">
        <f>IF(OR(E585="",F585=""),"",E585*F585)</f>
        <v/>
      </c>
      <c r="J585" s="75">
        <f>IF(I585="","",IF(D585="Buy",I585+N(G585),IF(D585="Sell",I585-N(G585),IF(D585="Dividend",I585-N(G585),I585+N(G585)))))</f>
        <v/>
      </c>
      <c r="K585" s="76">
        <f>IF(B585="","",DATE(YEAR(B585),MONTH(B585),1))</f>
        <v/>
      </c>
      <c r="L585" s="77">
        <f>IF(B585="","",YEAR(B585))</f>
        <v/>
      </c>
    </row>
    <row r="586" ht="19" customHeight="1">
      <c r="A586" s="69">
        <f>IF(B586="","",ROW()-5)</f>
        <v/>
      </c>
      <c r="B586" s="43" t="n"/>
      <c r="C586" s="41" t="n"/>
      <c r="D586" s="41" t="n"/>
      <c r="E586" s="70" t="n"/>
      <c r="F586" s="71" t="n"/>
      <c r="G586" s="72" t="n"/>
      <c r="H586" s="73" t="n"/>
      <c r="I586" s="74">
        <f>IF(OR(E586="",F586=""),"",E586*F586)</f>
        <v/>
      </c>
      <c r="J586" s="75">
        <f>IF(I586="","",IF(D586="Buy",I586+N(G586),IF(D586="Sell",I586-N(G586),IF(D586="Dividend",I586-N(G586),I586+N(G586)))))</f>
        <v/>
      </c>
      <c r="K586" s="76">
        <f>IF(B586="","",DATE(YEAR(B586),MONTH(B586),1))</f>
        <v/>
      </c>
      <c r="L586" s="77">
        <f>IF(B586="","",YEAR(B586))</f>
        <v/>
      </c>
    </row>
    <row r="587" ht="19" customHeight="1">
      <c r="A587" s="69">
        <f>IF(B587="","",ROW()-5)</f>
        <v/>
      </c>
      <c r="B587" s="43" t="n"/>
      <c r="C587" s="41" t="n"/>
      <c r="D587" s="41" t="n"/>
      <c r="E587" s="70" t="n"/>
      <c r="F587" s="71" t="n"/>
      <c r="G587" s="72" t="n"/>
      <c r="H587" s="73" t="n"/>
      <c r="I587" s="74">
        <f>IF(OR(E587="",F587=""),"",E587*F587)</f>
        <v/>
      </c>
      <c r="J587" s="75">
        <f>IF(I587="","",IF(D587="Buy",I587+N(G587),IF(D587="Sell",I587-N(G587),IF(D587="Dividend",I587-N(G587),I587+N(G587)))))</f>
        <v/>
      </c>
      <c r="K587" s="76">
        <f>IF(B587="","",DATE(YEAR(B587),MONTH(B587),1))</f>
        <v/>
      </c>
      <c r="L587" s="77">
        <f>IF(B587="","",YEAR(B587))</f>
        <v/>
      </c>
    </row>
    <row r="588" ht="19" customHeight="1">
      <c r="A588" s="69">
        <f>IF(B588="","",ROW()-5)</f>
        <v/>
      </c>
      <c r="B588" s="43" t="n"/>
      <c r="C588" s="41" t="n"/>
      <c r="D588" s="41" t="n"/>
      <c r="E588" s="70" t="n"/>
      <c r="F588" s="71" t="n"/>
      <c r="G588" s="72" t="n"/>
      <c r="H588" s="73" t="n"/>
      <c r="I588" s="74">
        <f>IF(OR(E588="",F588=""),"",E588*F588)</f>
        <v/>
      </c>
      <c r="J588" s="75">
        <f>IF(I588="","",IF(D588="Buy",I588+N(G588),IF(D588="Sell",I588-N(G588),IF(D588="Dividend",I588-N(G588),I588+N(G588)))))</f>
        <v/>
      </c>
      <c r="K588" s="76">
        <f>IF(B588="","",DATE(YEAR(B588),MONTH(B588),1))</f>
        <v/>
      </c>
      <c r="L588" s="77">
        <f>IF(B588="","",YEAR(B588))</f>
        <v/>
      </c>
    </row>
    <row r="589" ht="19" customHeight="1">
      <c r="A589" s="69">
        <f>IF(B589="","",ROW()-5)</f>
        <v/>
      </c>
      <c r="B589" s="43" t="n"/>
      <c r="C589" s="41" t="n"/>
      <c r="D589" s="41" t="n"/>
      <c r="E589" s="70" t="n"/>
      <c r="F589" s="71" t="n"/>
      <c r="G589" s="72" t="n"/>
      <c r="H589" s="73" t="n"/>
      <c r="I589" s="74">
        <f>IF(OR(E589="",F589=""),"",E589*F589)</f>
        <v/>
      </c>
      <c r="J589" s="75">
        <f>IF(I589="","",IF(D589="Buy",I589+N(G589),IF(D589="Sell",I589-N(G589),IF(D589="Dividend",I589-N(G589),I589+N(G589)))))</f>
        <v/>
      </c>
      <c r="K589" s="76">
        <f>IF(B589="","",DATE(YEAR(B589),MONTH(B589),1))</f>
        <v/>
      </c>
      <c r="L589" s="77">
        <f>IF(B589="","",YEAR(B589))</f>
        <v/>
      </c>
    </row>
    <row r="590" ht="19" customHeight="1">
      <c r="A590" s="69">
        <f>IF(B590="","",ROW()-5)</f>
        <v/>
      </c>
      <c r="B590" s="43" t="n"/>
      <c r="C590" s="41" t="n"/>
      <c r="D590" s="41" t="n"/>
      <c r="E590" s="70" t="n"/>
      <c r="F590" s="71" t="n"/>
      <c r="G590" s="72" t="n"/>
      <c r="H590" s="73" t="n"/>
      <c r="I590" s="74">
        <f>IF(OR(E590="",F590=""),"",E590*F590)</f>
        <v/>
      </c>
      <c r="J590" s="75">
        <f>IF(I590="","",IF(D590="Buy",I590+N(G590),IF(D590="Sell",I590-N(G590),IF(D590="Dividend",I590-N(G590),I590+N(G590)))))</f>
        <v/>
      </c>
      <c r="K590" s="76">
        <f>IF(B590="","",DATE(YEAR(B590),MONTH(B590),1))</f>
        <v/>
      </c>
      <c r="L590" s="77">
        <f>IF(B590="","",YEAR(B590))</f>
        <v/>
      </c>
    </row>
    <row r="591" ht="19" customHeight="1">
      <c r="A591" s="69">
        <f>IF(B591="","",ROW()-5)</f>
        <v/>
      </c>
      <c r="B591" s="43" t="n"/>
      <c r="C591" s="41" t="n"/>
      <c r="D591" s="41" t="n"/>
      <c r="E591" s="70" t="n"/>
      <c r="F591" s="71" t="n"/>
      <c r="G591" s="72" t="n"/>
      <c r="H591" s="73" t="n"/>
      <c r="I591" s="74">
        <f>IF(OR(E591="",F591=""),"",E591*F591)</f>
        <v/>
      </c>
      <c r="J591" s="75">
        <f>IF(I591="","",IF(D591="Buy",I591+N(G591),IF(D591="Sell",I591-N(G591),IF(D591="Dividend",I591-N(G591),I591+N(G591)))))</f>
        <v/>
      </c>
      <c r="K591" s="76">
        <f>IF(B591="","",DATE(YEAR(B591),MONTH(B591),1))</f>
        <v/>
      </c>
      <c r="L591" s="77">
        <f>IF(B591="","",YEAR(B591))</f>
        <v/>
      </c>
    </row>
    <row r="592" ht="19" customHeight="1">
      <c r="A592" s="69">
        <f>IF(B592="","",ROW()-5)</f>
        <v/>
      </c>
      <c r="B592" s="43" t="n"/>
      <c r="C592" s="41" t="n"/>
      <c r="D592" s="41" t="n"/>
      <c r="E592" s="70" t="n"/>
      <c r="F592" s="71" t="n"/>
      <c r="G592" s="72" t="n"/>
      <c r="H592" s="73" t="n"/>
      <c r="I592" s="74">
        <f>IF(OR(E592="",F592=""),"",E592*F592)</f>
        <v/>
      </c>
      <c r="J592" s="75">
        <f>IF(I592="","",IF(D592="Buy",I592+N(G592),IF(D592="Sell",I592-N(G592),IF(D592="Dividend",I592-N(G592),I592+N(G592)))))</f>
        <v/>
      </c>
      <c r="K592" s="76">
        <f>IF(B592="","",DATE(YEAR(B592),MONTH(B592),1))</f>
        <v/>
      </c>
      <c r="L592" s="77">
        <f>IF(B592="","",YEAR(B592))</f>
        <v/>
      </c>
    </row>
    <row r="593" ht="19" customHeight="1">
      <c r="A593" s="69">
        <f>IF(B593="","",ROW()-5)</f>
        <v/>
      </c>
      <c r="B593" s="43" t="n"/>
      <c r="C593" s="41" t="n"/>
      <c r="D593" s="41" t="n"/>
      <c r="E593" s="70" t="n"/>
      <c r="F593" s="71" t="n"/>
      <c r="G593" s="72" t="n"/>
      <c r="H593" s="73" t="n"/>
      <c r="I593" s="74">
        <f>IF(OR(E593="",F593=""),"",E593*F593)</f>
        <v/>
      </c>
      <c r="J593" s="75">
        <f>IF(I593="","",IF(D593="Buy",I593+N(G593),IF(D593="Sell",I593-N(G593),IF(D593="Dividend",I593-N(G593),I593+N(G593)))))</f>
        <v/>
      </c>
      <c r="K593" s="76">
        <f>IF(B593="","",DATE(YEAR(B593),MONTH(B593),1))</f>
        <v/>
      </c>
      <c r="L593" s="77">
        <f>IF(B593="","",YEAR(B593))</f>
        <v/>
      </c>
    </row>
    <row r="594" ht="19" customHeight="1">
      <c r="A594" s="69">
        <f>IF(B594="","",ROW()-5)</f>
        <v/>
      </c>
      <c r="B594" s="43" t="n"/>
      <c r="C594" s="41" t="n"/>
      <c r="D594" s="41" t="n"/>
      <c r="E594" s="70" t="n"/>
      <c r="F594" s="71" t="n"/>
      <c r="G594" s="72" t="n"/>
      <c r="H594" s="73" t="n"/>
      <c r="I594" s="74">
        <f>IF(OR(E594="",F594=""),"",E594*F594)</f>
        <v/>
      </c>
      <c r="J594" s="75">
        <f>IF(I594="","",IF(D594="Buy",I594+N(G594),IF(D594="Sell",I594-N(G594),IF(D594="Dividend",I594-N(G594),I594+N(G594)))))</f>
        <v/>
      </c>
      <c r="K594" s="76">
        <f>IF(B594="","",DATE(YEAR(B594),MONTH(B594),1))</f>
        <v/>
      </c>
      <c r="L594" s="77">
        <f>IF(B594="","",YEAR(B594))</f>
        <v/>
      </c>
    </row>
    <row r="595" ht="19" customHeight="1">
      <c r="A595" s="69">
        <f>IF(B595="","",ROW()-5)</f>
        <v/>
      </c>
      <c r="B595" s="43" t="n"/>
      <c r="C595" s="41" t="n"/>
      <c r="D595" s="41" t="n"/>
      <c r="E595" s="70" t="n"/>
      <c r="F595" s="71" t="n"/>
      <c r="G595" s="72" t="n"/>
      <c r="H595" s="73" t="n"/>
      <c r="I595" s="74">
        <f>IF(OR(E595="",F595=""),"",E595*F595)</f>
        <v/>
      </c>
      <c r="J595" s="75">
        <f>IF(I595="","",IF(D595="Buy",I595+N(G595),IF(D595="Sell",I595-N(G595),IF(D595="Dividend",I595-N(G595),I595+N(G595)))))</f>
        <v/>
      </c>
      <c r="K595" s="76">
        <f>IF(B595="","",DATE(YEAR(B595),MONTH(B595),1))</f>
        <v/>
      </c>
      <c r="L595" s="77">
        <f>IF(B595="","",YEAR(B595))</f>
        <v/>
      </c>
    </row>
    <row r="596" ht="19" customHeight="1">
      <c r="A596" s="69">
        <f>IF(B596="","",ROW()-5)</f>
        <v/>
      </c>
      <c r="B596" s="43" t="n"/>
      <c r="C596" s="41" t="n"/>
      <c r="D596" s="41" t="n"/>
      <c r="E596" s="70" t="n"/>
      <c r="F596" s="71" t="n"/>
      <c r="G596" s="72" t="n"/>
      <c r="H596" s="73" t="n"/>
      <c r="I596" s="74">
        <f>IF(OR(E596="",F596=""),"",E596*F596)</f>
        <v/>
      </c>
      <c r="J596" s="75">
        <f>IF(I596="","",IF(D596="Buy",I596+N(G596),IF(D596="Sell",I596-N(G596),IF(D596="Dividend",I596-N(G596),I596+N(G596)))))</f>
        <v/>
      </c>
      <c r="K596" s="76">
        <f>IF(B596="","",DATE(YEAR(B596),MONTH(B596),1))</f>
        <v/>
      </c>
      <c r="L596" s="77">
        <f>IF(B596="","",YEAR(B596))</f>
        <v/>
      </c>
    </row>
    <row r="597" ht="19" customHeight="1">
      <c r="A597" s="69">
        <f>IF(B597="","",ROW()-5)</f>
        <v/>
      </c>
      <c r="B597" s="43" t="n"/>
      <c r="C597" s="41" t="n"/>
      <c r="D597" s="41" t="n"/>
      <c r="E597" s="70" t="n"/>
      <c r="F597" s="71" t="n"/>
      <c r="G597" s="72" t="n"/>
      <c r="H597" s="73" t="n"/>
      <c r="I597" s="74">
        <f>IF(OR(E597="",F597=""),"",E597*F597)</f>
        <v/>
      </c>
      <c r="J597" s="75">
        <f>IF(I597="","",IF(D597="Buy",I597+N(G597),IF(D597="Sell",I597-N(G597),IF(D597="Dividend",I597-N(G597),I597+N(G597)))))</f>
        <v/>
      </c>
      <c r="K597" s="76">
        <f>IF(B597="","",DATE(YEAR(B597),MONTH(B597),1))</f>
        <v/>
      </c>
      <c r="L597" s="77">
        <f>IF(B597="","",YEAR(B597))</f>
        <v/>
      </c>
    </row>
    <row r="598" ht="19" customHeight="1">
      <c r="A598" s="69">
        <f>IF(B598="","",ROW()-5)</f>
        <v/>
      </c>
      <c r="B598" s="43" t="n"/>
      <c r="C598" s="41" t="n"/>
      <c r="D598" s="41" t="n"/>
      <c r="E598" s="70" t="n"/>
      <c r="F598" s="71" t="n"/>
      <c r="G598" s="72" t="n"/>
      <c r="H598" s="73" t="n"/>
      <c r="I598" s="74">
        <f>IF(OR(E598="",F598=""),"",E598*F598)</f>
        <v/>
      </c>
      <c r="J598" s="75">
        <f>IF(I598="","",IF(D598="Buy",I598+N(G598),IF(D598="Sell",I598-N(G598),IF(D598="Dividend",I598-N(G598),I598+N(G598)))))</f>
        <v/>
      </c>
      <c r="K598" s="76">
        <f>IF(B598="","",DATE(YEAR(B598),MONTH(B598),1))</f>
        <v/>
      </c>
      <c r="L598" s="77">
        <f>IF(B598="","",YEAR(B598))</f>
        <v/>
      </c>
    </row>
    <row r="599" ht="19" customHeight="1">
      <c r="A599" s="69">
        <f>IF(B599="","",ROW()-5)</f>
        <v/>
      </c>
      <c r="B599" s="43" t="n"/>
      <c r="C599" s="41" t="n"/>
      <c r="D599" s="41" t="n"/>
      <c r="E599" s="70" t="n"/>
      <c r="F599" s="71" t="n"/>
      <c r="G599" s="72" t="n"/>
      <c r="H599" s="73" t="n"/>
      <c r="I599" s="74">
        <f>IF(OR(E599="",F599=""),"",E599*F599)</f>
        <v/>
      </c>
      <c r="J599" s="75">
        <f>IF(I599="","",IF(D599="Buy",I599+N(G599),IF(D599="Sell",I599-N(G599),IF(D599="Dividend",I599-N(G599),I599+N(G599)))))</f>
        <v/>
      </c>
      <c r="K599" s="76">
        <f>IF(B599="","",DATE(YEAR(B599),MONTH(B599),1))</f>
        <v/>
      </c>
      <c r="L599" s="77">
        <f>IF(B599="","",YEAR(B599))</f>
        <v/>
      </c>
    </row>
    <row r="600" ht="19" customHeight="1">
      <c r="A600" s="69">
        <f>IF(B600="","",ROW()-5)</f>
        <v/>
      </c>
      <c r="B600" s="43" t="n"/>
      <c r="C600" s="41" t="n"/>
      <c r="D600" s="41" t="n"/>
      <c r="E600" s="70" t="n"/>
      <c r="F600" s="71" t="n"/>
      <c r="G600" s="72" t="n"/>
      <c r="H600" s="73" t="n"/>
      <c r="I600" s="74">
        <f>IF(OR(E600="",F600=""),"",E600*F600)</f>
        <v/>
      </c>
      <c r="J600" s="75">
        <f>IF(I600="","",IF(D600="Buy",I600+N(G600),IF(D600="Sell",I600-N(G600),IF(D600="Dividend",I600-N(G600),I600+N(G600)))))</f>
        <v/>
      </c>
      <c r="K600" s="76">
        <f>IF(B600="","",DATE(YEAR(B600),MONTH(B600),1))</f>
        <v/>
      </c>
      <c r="L600" s="77">
        <f>IF(B600="","",YEAR(B600))</f>
        <v/>
      </c>
    </row>
    <row r="601" ht="19" customHeight="1">
      <c r="A601" s="69">
        <f>IF(B601="","",ROW()-5)</f>
        <v/>
      </c>
      <c r="B601" s="43" t="n"/>
      <c r="C601" s="41" t="n"/>
      <c r="D601" s="41" t="n"/>
      <c r="E601" s="70" t="n"/>
      <c r="F601" s="71" t="n"/>
      <c r="G601" s="72" t="n"/>
      <c r="H601" s="73" t="n"/>
      <c r="I601" s="74">
        <f>IF(OR(E601="",F601=""),"",E601*F601)</f>
        <v/>
      </c>
      <c r="J601" s="75">
        <f>IF(I601="","",IF(D601="Buy",I601+N(G601),IF(D601="Sell",I601-N(G601),IF(D601="Dividend",I601-N(G601),I601+N(G601)))))</f>
        <v/>
      </c>
      <c r="K601" s="76">
        <f>IF(B601="","",DATE(YEAR(B601),MONTH(B601),1))</f>
        <v/>
      </c>
      <c r="L601" s="77">
        <f>IF(B601="","",YEAR(B601))</f>
        <v/>
      </c>
    </row>
    <row r="602" ht="19" customHeight="1">
      <c r="A602" s="69">
        <f>IF(B602="","",ROW()-5)</f>
        <v/>
      </c>
      <c r="B602" s="43" t="n"/>
      <c r="C602" s="41" t="n"/>
      <c r="D602" s="41" t="n"/>
      <c r="E602" s="70" t="n"/>
      <c r="F602" s="71" t="n"/>
      <c r="G602" s="72" t="n"/>
      <c r="H602" s="73" t="n"/>
      <c r="I602" s="74">
        <f>IF(OR(E602="",F602=""),"",E602*F602)</f>
        <v/>
      </c>
      <c r="J602" s="75">
        <f>IF(I602="","",IF(D602="Buy",I602+N(G602),IF(D602="Sell",I602-N(G602),IF(D602="Dividend",I602-N(G602),I602+N(G602)))))</f>
        <v/>
      </c>
      <c r="K602" s="76">
        <f>IF(B602="","",DATE(YEAR(B602),MONTH(B602),1))</f>
        <v/>
      </c>
      <c r="L602" s="77">
        <f>IF(B602="","",YEAR(B602))</f>
        <v/>
      </c>
    </row>
    <row r="603" ht="19" customHeight="1">
      <c r="A603" s="69">
        <f>IF(B603="","",ROW()-5)</f>
        <v/>
      </c>
      <c r="B603" s="43" t="n"/>
      <c r="C603" s="41" t="n"/>
      <c r="D603" s="41" t="n"/>
      <c r="E603" s="70" t="n"/>
      <c r="F603" s="71" t="n"/>
      <c r="G603" s="72" t="n"/>
      <c r="H603" s="73" t="n"/>
      <c r="I603" s="74">
        <f>IF(OR(E603="",F603=""),"",E603*F603)</f>
        <v/>
      </c>
      <c r="J603" s="75">
        <f>IF(I603="","",IF(D603="Buy",I603+N(G603),IF(D603="Sell",I603-N(G603),IF(D603="Dividend",I603-N(G603),I603+N(G603)))))</f>
        <v/>
      </c>
      <c r="K603" s="76">
        <f>IF(B603="","",DATE(YEAR(B603),MONTH(B603),1))</f>
        <v/>
      </c>
      <c r="L603" s="77">
        <f>IF(B603="","",YEAR(B603))</f>
        <v/>
      </c>
    </row>
    <row r="604" ht="19" customHeight="1">
      <c r="A604" s="69">
        <f>IF(B604="","",ROW()-5)</f>
        <v/>
      </c>
      <c r="B604" s="43" t="n"/>
      <c r="C604" s="41" t="n"/>
      <c r="D604" s="41" t="n"/>
      <c r="E604" s="70" t="n"/>
      <c r="F604" s="71" t="n"/>
      <c r="G604" s="72" t="n"/>
      <c r="H604" s="73" t="n"/>
      <c r="I604" s="74">
        <f>IF(OR(E604="",F604=""),"",E604*F604)</f>
        <v/>
      </c>
      <c r="J604" s="75">
        <f>IF(I604="","",IF(D604="Buy",I604+N(G604),IF(D604="Sell",I604-N(G604),IF(D604="Dividend",I604-N(G604),I604+N(G604)))))</f>
        <v/>
      </c>
      <c r="K604" s="76">
        <f>IF(B604="","",DATE(YEAR(B604),MONTH(B604),1))</f>
        <v/>
      </c>
      <c r="L604" s="77">
        <f>IF(B604="","",YEAR(B604))</f>
        <v/>
      </c>
    </row>
    <row r="605" ht="19" customHeight="1">
      <c r="A605" s="69">
        <f>IF(B605="","",ROW()-5)</f>
        <v/>
      </c>
      <c r="B605" s="43" t="n"/>
      <c r="C605" s="41" t="n"/>
      <c r="D605" s="41" t="n"/>
      <c r="E605" s="70" t="n"/>
      <c r="F605" s="71" t="n"/>
      <c r="G605" s="72" t="n"/>
      <c r="H605" s="73" t="n"/>
      <c r="I605" s="74">
        <f>IF(OR(E605="",F605=""),"",E605*F605)</f>
        <v/>
      </c>
      <c r="J605" s="75">
        <f>IF(I605="","",IF(D605="Buy",I605+N(G605),IF(D605="Sell",I605-N(G605),IF(D605="Dividend",I605-N(G605),I605+N(G605)))))</f>
        <v/>
      </c>
      <c r="K605" s="76">
        <f>IF(B605="","",DATE(YEAR(B605),MONTH(B605),1))</f>
        <v/>
      </c>
      <c r="L605" s="77">
        <f>IF(B605="","",YEAR(B605))</f>
        <v/>
      </c>
    </row>
    <row r="606" ht="19" customHeight="1">
      <c r="A606" s="69">
        <f>IF(B606="","",ROW()-5)</f>
        <v/>
      </c>
      <c r="B606" s="43" t="n"/>
      <c r="C606" s="41" t="n"/>
      <c r="D606" s="41" t="n"/>
      <c r="E606" s="70" t="n"/>
      <c r="F606" s="71" t="n"/>
      <c r="G606" s="72" t="n"/>
      <c r="H606" s="73" t="n"/>
      <c r="I606" s="74">
        <f>IF(OR(E606="",F606=""),"",E606*F606)</f>
        <v/>
      </c>
      <c r="J606" s="75">
        <f>IF(I606="","",IF(D606="Buy",I606+N(G606),IF(D606="Sell",I606-N(G606),IF(D606="Dividend",I606-N(G606),I606+N(G606)))))</f>
        <v/>
      </c>
      <c r="K606" s="76">
        <f>IF(B606="","",DATE(YEAR(B606),MONTH(B606),1))</f>
        <v/>
      </c>
      <c r="L606" s="77">
        <f>IF(B606="","",YEAR(B606))</f>
        <v/>
      </c>
    </row>
    <row r="607" ht="19" customHeight="1">
      <c r="A607" s="69">
        <f>IF(B607="","",ROW()-5)</f>
        <v/>
      </c>
      <c r="B607" s="43" t="n"/>
      <c r="C607" s="41" t="n"/>
      <c r="D607" s="41" t="n"/>
      <c r="E607" s="70" t="n"/>
      <c r="F607" s="71" t="n"/>
      <c r="G607" s="72" t="n"/>
      <c r="H607" s="73" t="n"/>
      <c r="I607" s="74">
        <f>IF(OR(E607="",F607=""),"",E607*F607)</f>
        <v/>
      </c>
      <c r="J607" s="75">
        <f>IF(I607="","",IF(D607="Buy",I607+N(G607),IF(D607="Sell",I607-N(G607),IF(D607="Dividend",I607-N(G607),I607+N(G607)))))</f>
        <v/>
      </c>
      <c r="K607" s="76">
        <f>IF(B607="","",DATE(YEAR(B607),MONTH(B607),1))</f>
        <v/>
      </c>
      <c r="L607" s="77">
        <f>IF(B607="","",YEAR(B607))</f>
        <v/>
      </c>
    </row>
    <row r="608" ht="19" customHeight="1">
      <c r="A608" s="69">
        <f>IF(B608="","",ROW()-5)</f>
        <v/>
      </c>
      <c r="B608" s="43" t="n"/>
      <c r="C608" s="41" t="n"/>
      <c r="D608" s="41" t="n"/>
      <c r="E608" s="70" t="n"/>
      <c r="F608" s="71" t="n"/>
      <c r="G608" s="72" t="n"/>
      <c r="H608" s="73" t="n"/>
      <c r="I608" s="74">
        <f>IF(OR(E608="",F608=""),"",E608*F608)</f>
        <v/>
      </c>
      <c r="J608" s="75">
        <f>IF(I608="","",IF(D608="Buy",I608+N(G608),IF(D608="Sell",I608-N(G608),IF(D608="Dividend",I608-N(G608),I608+N(G608)))))</f>
        <v/>
      </c>
      <c r="K608" s="76">
        <f>IF(B608="","",DATE(YEAR(B608),MONTH(B608),1))</f>
        <v/>
      </c>
      <c r="L608" s="77">
        <f>IF(B608="","",YEAR(B608))</f>
        <v/>
      </c>
    </row>
    <row r="609" ht="19" customHeight="1">
      <c r="A609" s="69">
        <f>IF(B609="","",ROW()-5)</f>
        <v/>
      </c>
      <c r="B609" s="43" t="n"/>
      <c r="C609" s="41" t="n"/>
      <c r="D609" s="41" t="n"/>
      <c r="E609" s="70" t="n"/>
      <c r="F609" s="71" t="n"/>
      <c r="G609" s="72" t="n"/>
      <c r="H609" s="73" t="n"/>
      <c r="I609" s="74">
        <f>IF(OR(E609="",F609=""),"",E609*F609)</f>
        <v/>
      </c>
      <c r="J609" s="75">
        <f>IF(I609="","",IF(D609="Buy",I609+N(G609),IF(D609="Sell",I609-N(G609),IF(D609="Dividend",I609-N(G609),I609+N(G609)))))</f>
        <v/>
      </c>
      <c r="K609" s="76">
        <f>IF(B609="","",DATE(YEAR(B609),MONTH(B609),1))</f>
        <v/>
      </c>
      <c r="L609" s="77">
        <f>IF(B609="","",YEAR(B609))</f>
        <v/>
      </c>
    </row>
    <row r="610" ht="19" customHeight="1">
      <c r="A610" s="69">
        <f>IF(B610="","",ROW()-5)</f>
        <v/>
      </c>
      <c r="B610" s="43" t="n"/>
      <c r="C610" s="41" t="n"/>
      <c r="D610" s="41" t="n"/>
      <c r="E610" s="70" t="n"/>
      <c r="F610" s="71" t="n"/>
      <c r="G610" s="72" t="n"/>
      <c r="H610" s="73" t="n"/>
      <c r="I610" s="74">
        <f>IF(OR(E610="",F610=""),"",E610*F610)</f>
        <v/>
      </c>
      <c r="J610" s="75">
        <f>IF(I610="","",IF(D610="Buy",I610+N(G610),IF(D610="Sell",I610-N(G610),IF(D610="Dividend",I610-N(G610),I610+N(G610)))))</f>
        <v/>
      </c>
      <c r="K610" s="76">
        <f>IF(B610="","",DATE(YEAR(B610),MONTH(B610),1))</f>
        <v/>
      </c>
      <c r="L610" s="77">
        <f>IF(B610="","",YEAR(B610))</f>
        <v/>
      </c>
    </row>
    <row r="611" ht="19" customHeight="1">
      <c r="A611" s="69">
        <f>IF(B611="","",ROW()-5)</f>
        <v/>
      </c>
      <c r="B611" s="43" t="n"/>
      <c r="C611" s="41" t="n"/>
      <c r="D611" s="41" t="n"/>
      <c r="E611" s="70" t="n"/>
      <c r="F611" s="71" t="n"/>
      <c r="G611" s="72" t="n"/>
      <c r="H611" s="73" t="n"/>
      <c r="I611" s="74">
        <f>IF(OR(E611="",F611=""),"",E611*F611)</f>
        <v/>
      </c>
      <c r="J611" s="75">
        <f>IF(I611="","",IF(D611="Buy",I611+N(G611),IF(D611="Sell",I611-N(G611),IF(D611="Dividend",I611-N(G611),I611+N(G611)))))</f>
        <v/>
      </c>
      <c r="K611" s="76">
        <f>IF(B611="","",DATE(YEAR(B611),MONTH(B611),1))</f>
        <v/>
      </c>
      <c r="L611" s="77">
        <f>IF(B611="","",YEAR(B611))</f>
        <v/>
      </c>
    </row>
    <row r="612" ht="19" customHeight="1">
      <c r="A612" s="69">
        <f>IF(B612="","",ROW()-5)</f>
        <v/>
      </c>
      <c r="B612" s="43" t="n"/>
      <c r="C612" s="41" t="n"/>
      <c r="D612" s="41" t="n"/>
      <c r="E612" s="70" t="n"/>
      <c r="F612" s="71" t="n"/>
      <c r="G612" s="72" t="n"/>
      <c r="H612" s="73" t="n"/>
      <c r="I612" s="74">
        <f>IF(OR(E612="",F612=""),"",E612*F612)</f>
        <v/>
      </c>
      <c r="J612" s="75">
        <f>IF(I612="","",IF(D612="Buy",I612+N(G612),IF(D612="Sell",I612-N(G612),IF(D612="Dividend",I612-N(G612),I612+N(G612)))))</f>
        <v/>
      </c>
      <c r="K612" s="76">
        <f>IF(B612="","",DATE(YEAR(B612),MONTH(B612),1))</f>
        <v/>
      </c>
      <c r="L612" s="77">
        <f>IF(B612="","",YEAR(B612))</f>
        <v/>
      </c>
    </row>
    <row r="613" ht="19" customHeight="1">
      <c r="A613" s="69">
        <f>IF(B613="","",ROW()-5)</f>
        <v/>
      </c>
      <c r="B613" s="43" t="n"/>
      <c r="C613" s="41" t="n"/>
      <c r="D613" s="41" t="n"/>
      <c r="E613" s="70" t="n"/>
      <c r="F613" s="71" t="n"/>
      <c r="G613" s="72" t="n"/>
      <c r="H613" s="73" t="n"/>
      <c r="I613" s="74">
        <f>IF(OR(E613="",F613=""),"",E613*F613)</f>
        <v/>
      </c>
      <c r="J613" s="75">
        <f>IF(I613="","",IF(D613="Buy",I613+N(G613),IF(D613="Sell",I613-N(G613),IF(D613="Dividend",I613-N(G613),I613+N(G613)))))</f>
        <v/>
      </c>
      <c r="K613" s="76">
        <f>IF(B613="","",DATE(YEAR(B613),MONTH(B613),1))</f>
        <v/>
      </c>
      <c r="L613" s="77">
        <f>IF(B613="","",YEAR(B613))</f>
        <v/>
      </c>
    </row>
    <row r="614" ht="19" customHeight="1">
      <c r="A614" s="69">
        <f>IF(B614="","",ROW()-5)</f>
        <v/>
      </c>
      <c r="B614" s="43" t="n"/>
      <c r="C614" s="41" t="n"/>
      <c r="D614" s="41" t="n"/>
      <c r="E614" s="70" t="n"/>
      <c r="F614" s="71" t="n"/>
      <c r="G614" s="72" t="n"/>
      <c r="H614" s="73" t="n"/>
      <c r="I614" s="74">
        <f>IF(OR(E614="",F614=""),"",E614*F614)</f>
        <v/>
      </c>
      <c r="J614" s="75">
        <f>IF(I614="","",IF(D614="Buy",I614+N(G614),IF(D614="Sell",I614-N(G614),IF(D614="Dividend",I614-N(G614),I614+N(G614)))))</f>
        <v/>
      </c>
      <c r="K614" s="76">
        <f>IF(B614="","",DATE(YEAR(B614),MONTH(B614),1))</f>
        <v/>
      </c>
      <c r="L614" s="77">
        <f>IF(B614="","",YEAR(B614))</f>
        <v/>
      </c>
    </row>
    <row r="615" ht="19" customHeight="1">
      <c r="A615" s="69">
        <f>IF(B615="","",ROW()-5)</f>
        <v/>
      </c>
      <c r="B615" s="43" t="n"/>
      <c r="C615" s="41" t="n"/>
      <c r="D615" s="41" t="n"/>
      <c r="E615" s="70" t="n"/>
      <c r="F615" s="71" t="n"/>
      <c r="G615" s="72" t="n"/>
      <c r="H615" s="73" t="n"/>
      <c r="I615" s="74">
        <f>IF(OR(E615="",F615=""),"",E615*F615)</f>
        <v/>
      </c>
      <c r="J615" s="75">
        <f>IF(I615="","",IF(D615="Buy",I615+N(G615),IF(D615="Sell",I615-N(G615),IF(D615="Dividend",I615-N(G615),I615+N(G615)))))</f>
        <v/>
      </c>
      <c r="K615" s="76">
        <f>IF(B615="","",DATE(YEAR(B615),MONTH(B615),1))</f>
        <v/>
      </c>
      <c r="L615" s="77">
        <f>IF(B615="","",YEAR(B615))</f>
        <v/>
      </c>
    </row>
    <row r="616" ht="19" customHeight="1">
      <c r="A616" s="69">
        <f>IF(B616="","",ROW()-5)</f>
        <v/>
      </c>
      <c r="B616" s="43" t="n"/>
      <c r="C616" s="41" t="n"/>
      <c r="D616" s="41" t="n"/>
      <c r="E616" s="70" t="n"/>
      <c r="F616" s="71" t="n"/>
      <c r="G616" s="72" t="n"/>
      <c r="H616" s="73" t="n"/>
      <c r="I616" s="74">
        <f>IF(OR(E616="",F616=""),"",E616*F616)</f>
        <v/>
      </c>
      <c r="J616" s="75">
        <f>IF(I616="","",IF(D616="Buy",I616+N(G616),IF(D616="Sell",I616-N(G616),IF(D616="Dividend",I616-N(G616),I616+N(G616)))))</f>
        <v/>
      </c>
      <c r="K616" s="76">
        <f>IF(B616="","",DATE(YEAR(B616),MONTH(B616),1))</f>
        <v/>
      </c>
      <c r="L616" s="77">
        <f>IF(B616="","",YEAR(B616))</f>
        <v/>
      </c>
    </row>
    <row r="617" ht="19" customHeight="1">
      <c r="A617" s="69">
        <f>IF(B617="","",ROW()-5)</f>
        <v/>
      </c>
      <c r="B617" s="43" t="n"/>
      <c r="C617" s="41" t="n"/>
      <c r="D617" s="41" t="n"/>
      <c r="E617" s="70" t="n"/>
      <c r="F617" s="71" t="n"/>
      <c r="G617" s="72" t="n"/>
      <c r="H617" s="73" t="n"/>
      <c r="I617" s="74">
        <f>IF(OR(E617="",F617=""),"",E617*F617)</f>
        <v/>
      </c>
      <c r="J617" s="75">
        <f>IF(I617="","",IF(D617="Buy",I617+N(G617),IF(D617="Sell",I617-N(G617),IF(D617="Dividend",I617-N(G617),I617+N(G617)))))</f>
        <v/>
      </c>
      <c r="K617" s="76">
        <f>IF(B617="","",DATE(YEAR(B617),MONTH(B617),1))</f>
        <v/>
      </c>
      <c r="L617" s="77">
        <f>IF(B617="","",YEAR(B617))</f>
        <v/>
      </c>
    </row>
    <row r="618" ht="19" customHeight="1">
      <c r="A618" s="69">
        <f>IF(B618="","",ROW()-5)</f>
        <v/>
      </c>
      <c r="B618" s="43" t="n"/>
      <c r="C618" s="41" t="n"/>
      <c r="D618" s="41" t="n"/>
      <c r="E618" s="70" t="n"/>
      <c r="F618" s="71" t="n"/>
      <c r="G618" s="72" t="n"/>
      <c r="H618" s="73" t="n"/>
      <c r="I618" s="74">
        <f>IF(OR(E618="",F618=""),"",E618*F618)</f>
        <v/>
      </c>
      <c r="J618" s="75">
        <f>IF(I618="","",IF(D618="Buy",I618+N(G618),IF(D618="Sell",I618-N(G618),IF(D618="Dividend",I618-N(G618),I618+N(G618)))))</f>
        <v/>
      </c>
      <c r="K618" s="76">
        <f>IF(B618="","",DATE(YEAR(B618),MONTH(B618),1))</f>
        <v/>
      </c>
      <c r="L618" s="77">
        <f>IF(B618="","",YEAR(B618))</f>
        <v/>
      </c>
    </row>
    <row r="619" ht="19" customHeight="1">
      <c r="A619" s="69">
        <f>IF(B619="","",ROW()-5)</f>
        <v/>
      </c>
      <c r="B619" s="43" t="n"/>
      <c r="C619" s="41" t="n"/>
      <c r="D619" s="41" t="n"/>
      <c r="E619" s="70" t="n"/>
      <c r="F619" s="71" t="n"/>
      <c r="G619" s="72" t="n"/>
      <c r="H619" s="73" t="n"/>
      <c r="I619" s="74">
        <f>IF(OR(E619="",F619=""),"",E619*F619)</f>
        <v/>
      </c>
      <c r="J619" s="75">
        <f>IF(I619="","",IF(D619="Buy",I619+N(G619),IF(D619="Sell",I619-N(G619),IF(D619="Dividend",I619-N(G619),I619+N(G619)))))</f>
        <v/>
      </c>
      <c r="K619" s="76">
        <f>IF(B619="","",DATE(YEAR(B619),MONTH(B619),1))</f>
        <v/>
      </c>
      <c r="L619" s="77">
        <f>IF(B619="","",YEAR(B619))</f>
        <v/>
      </c>
    </row>
    <row r="620" ht="19" customHeight="1">
      <c r="A620" s="69">
        <f>IF(B620="","",ROW()-5)</f>
        <v/>
      </c>
      <c r="B620" s="43" t="n"/>
      <c r="C620" s="41" t="n"/>
      <c r="D620" s="41" t="n"/>
      <c r="E620" s="70" t="n"/>
      <c r="F620" s="71" t="n"/>
      <c r="G620" s="72" t="n"/>
      <c r="H620" s="73" t="n"/>
      <c r="I620" s="74">
        <f>IF(OR(E620="",F620=""),"",E620*F620)</f>
        <v/>
      </c>
      <c r="J620" s="75">
        <f>IF(I620="","",IF(D620="Buy",I620+N(G620),IF(D620="Sell",I620-N(G620),IF(D620="Dividend",I620-N(G620),I620+N(G620)))))</f>
        <v/>
      </c>
      <c r="K620" s="76">
        <f>IF(B620="","",DATE(YEAR(B620),MONTH(B620),1))</f>
        <v/>
      </c>
      <c r="L620" s="77">
        <f>IF(B620="","",YEAR(B620))</f>
        <v/>
      </c>
    </row>
    <row r="621" ht="19" customHeight="1">
      <c r="A621" s="69">
        <f>IF(B621="","",ROW()-5)</f>
        <v/>
      </c>
      <c r="B621" s="43" t="n"/>
      <c r="C621" s="41" t="n"/>
      <c r="D621" s="41" t="n"/>
      <c r="E621" s="70" t="n"/>
      <c r="F621" s="71" t="n"/>
      <c r="G621" s="72" t="n"/>
      <c r="H621" s="73" t="n"/>
      <c r="I621" s="74">
        <f>IF(OR(E621="",F621=""),"",E621*F621)</f>
        <v/>
      </c>
      <c r="J621" s="75">
        <f>IF(I621="","",IF(D621="Buy",I621+N(G621),IF(D621="Sell",I621-N(G621),IF(D621="Dividend",I621-N(G621),I621+N(G621)))))</f>
        <v/>
      </c>
      <c r="K621" s="76">
        <f>IF(B621="","",DATE(YEAR(B621),MONTH(B621),1))</f>
        <v/>
      </c>
      <c r="L621" s="77">
        <f>IF(B621="","",YEAR(B621))</f>
        <v/>
      </c>
    </row>
    <row r="622" ht="19" customHeight="1">
      <c r="A622" s="69">
        <f>IF(B622="","",ROW()-5)</f>
        <v/>
      </c>
      <c r="B622" s="43" t="n"/>
      <c r="C622" s="41" t="n"/>
      <c r="D622" s="41" t="n"/>
      <c r="E622" s="70" t="n"/>
      <c r="F622" s="71" t="n"/>
      <c r="G622" s="72" t="n"/>
      <c r="H622" s="73" t="n"/>
      <c r="I622" s="74">
        <f>IF(OR(E622="",F622=""),"",E622*F622)</f>
        <v/>
      </c>
      <c r="J622" s="75">
        <f>IF(I622="","",IF(D622="Buy",I622+N(G622),IF(D622="Sell",I622-N(G622),IF(D622="Dividend",I622-N(G622),I622+N(G622)))))</f>
        <v/>
      </c>
      <c r="K622" s="76">
        <f>IF(B622="","",DATE(YEAR(B622),MONTH(B622),1))</f>
        <v/>
      </c>
      <c r="L622" s="77">
        <f>IF(B622="","",YEAR(B622))</f>
        <v/>
      </c>
    </row>
    <row r="623" ht="19" customHeight="1">
      <c r="A623" s="69">
        <f>IF(B623="","",ROW()-5)</f>
        <v/>
      </c>
      <c r="B623" s="43" t="n"/>
      <c r="C623" s="41" t="n"/>
      <c r="D623" s="41" t="n"/>
      <c r="E623" s="70" t="n"/>
      <c r="F623" s="71" t="n"/>
      <c r="G623" s="72" t="n"/>
      <c r="H623" s="73" t="n"/>
      <c r="I623" s="74">
        <f>IF(OR(E623="",F623=""),"",E623*F623)</f>
        <v/>
      </c>
      <c r="J623" s="75">
        <f>IF(I623="","",IF(D623="Buy",I623+N(G623),IF(D623="Sell",I623-N(G623),IF(D623="Dividend",I623-N(G623),I623+N(G623)))))</f>
        <v/>
      </c>
      <c r="K623" s="76">
        <f>IF(B623="","",DATE(YEAR(B623),MONTH(B623),1))</f>
        <v/>
      </c>
      <c r="L623" s="77">
        <f>IF(B623="","",YEAR(B623))</f>
        <v/>
      </c>
    </row>
    <row r="624" ht="19" customHeight="1">
      <c r="A624" s="69">
        <f>IF(B624="","",ROW()-5)</f>
        <v/>
      </c>
      <c r="B624" s="43" t="n"/>
      <c r="C624" s="41" t="n"/>
      <c r="D624" s="41" t="n"/>
      <c r="E624" s="70" t="n"/>
      <c r="F624" s="71" t="n"/>
      <c r="G624" s="72" t="n"/>
      <c r="H624" s="73" t="n"/>
      <c r="I624" s="74">
        <f>IF(OR(E624="",F624=""),"",E624*F624)</f>
        <v/>
      </c>
      <c r="J624" s="75">
        <f>IF(I624="","",IF(D624="Buy",I624+N(G624),IF(D624="Sell",I624-N(G624),IF(D624="Dividend",I624-N(G624),I624+N(G624)))))</f>
        <v/>
      </c>
      <c r="K624" s="76">
        <f>IF(B624="","",DATE(YEAR(B624),MONTH(B624),1))</f>
        <v/>
      </c>
      <c r="L624" s="77">
        <f>IF(B624="","",YEAR(B624))</f>
        <v/>
      </c>
    </row>
    <row r="625" ht="19" customHeight="1">
      <c r="A625" s="69">
        <f>IF(B625="","",ROW()-5)</f>
        <v/>
      </c>
      <c r="B625" s="43" t="n"/>
      <c r="C625" s="41" t="n"/>
      <c r="D625" s="41" t="n"/>
      <c r="E625" s="70" t="n"/>
      <c r="F625" s="71" t="n"/>
      <c r="G625" s="72" t="n"/>
      <c r="H625" s="73" t="n"/>
      <c r="I625" s="74">
        <f>IF(OR(E625="",F625=""),"",E625*F625)</f>
        <v/>
      </c>
      <c r="J625" s="75">
        <f>IF(I625="","",IF(D625="Buy",I625+N(G625),IF(D625="Sell",I625-N(G625),IF(D625="Dividend",I625-N(G625),I625+N(G625)))))</f>
        <v/>
      </c>
      <c r="K625" s="76">
        <f>IF(B625="","",DATE(YEAR(B625),MONTH(B625),1))</f>
        <v/>
      </c>
      <c r="L625" s="77">
        <f>IF(B625="","",YEAR(B625))</f>
        <v/>
      </c>
    </row>
    <row r="626" ht="19" customHeight="1">
      <c r="A626" s="69">
        <f>IF(B626="","",ROW()-5)</f>
        <v/>
      </c>
      <c r="B626" s="43" t="n"/>
      <c r="C626" s="41" t="n"/>
      <c r="D626" s="41" t="n"/>
      <c r="E626" s="70" t="n"/>
      <c r="F626" s="71" t="n"/>
      <c r="G626" s="72" t="n"/>
      <c r="H626" s="73" t="n"/>
      <c r="I626" s="74">
        <f>IF(OR(E626="",F626=""),"",E626*F626)</f>
        <v/>
      </c>
      <c r="J626" s="75">
        <f>IF(I626="","",IF(D626="Buy",I626+N(G626),IF(D626="Sell",I626-N(G626),IF(D626="Dividend",I626-N(G626),I626+N(G626)))))</f>
        <v/>
      </c>
      <c r="K626" s="76">
        <f>IF(B626="","",DATE(YEAR(B626),MONTH(B626),1))</f>
        <v/>
      </c>
      <c r="L626" s="77">
        <f>IF(B626="","",YEAR(B626))</f>
        <v/>
      </c>
    </row>
    <row r="627" ht="19" customHeight="1">
      <c r="A627" s="69">
        <f>IF(B627="","",ROW()-5)</f>
        <v/>
      </c>
      <c r="B627" s="43" t="n"/>
      <c r="C627" s="41" t="n"/>
      <c r="D627" s="41" t="n"/>
      <c r="E627" s="70" t="n"/>
      <c r="F627" s="71" t="n"/>
      <c r="G627" s="72" t="n"/>
      <c r="H627" s="73" t="n"/>
      <c r="I627" s="74">
        <f>IF(OR(E627="",F627=""),"",E627*F627)</f>
        <v/>
      </c>
      <c r="J627" s="75">
        <f>IF(I627="","",IF(D627="Buy",I627+N(G627),IF(D627="Sell",I627-N(G627),IF(D627="Dividend",I627-N(G627),I627+N(G627)))))</f>
        <v/>
      </c>
      <c r="K627" s="76">
        <f>IF(B627="","",DATE(YEAR(B627),MONTH(B627),1))</f>
        <v/>
      </c>
      <c r="L627" s="77">
        <f>IF(B627="","",YEAR(B627))</f>
        <v/>
      </c>
    </row>
    <row r="628" ht="19" customHeight="1">
      <c r="A628" s="69">
        <f>IF(B628="","",ROW()-5)</f>
        <v/>
      </c>
      <c r="B628" s="43" t="n"/>
      <c r="C628" s="41" t="n"/>
      <c r="D628" s="41" t="n"/>
      <c r="E628" s="70" t="n"/>
      <c r="F628" s="71" t="n"/>
      <c r="G628" s="72" t="n"/>
      <c r="H628" s="73" t="n"/>
      <c r="I628" s="74">
        <f>IF(OR(E628="",F628=""),"",E628*F628)</f>
        <v/>
      </c>
      <c r="J628" s="75">
        <f>IF(I628="","",IF(D628="Buy",I628+N(G628),IF(D628="Sell",I628-N(G628),IF(D628="Dividend",I628-N(G628),I628+N(G628)))))</f>
        <v/>
      </c>
      <c r="K628" s="76">
        <f>IF(B628="","",DATE(YEAR(B628),MONTH(B628),1))</f>
        <v/>
      </c>
      <c r="L628" s="77">
        <f>IF(B628="","",YEAR(B628))</f>
        <v/>
      </c>
    </row>
    <row r="629" ht="19" customHeight="1">
      <c r="A629" s="69">
        <f>IF(B629="","",ROW()-5)</f>
        <v/>
      </c>
      <c r="B629" s="43" t="n"/>
      <c r="C629" s="41" t="n"/>
      <c r="D629" s="41" t="n"/>
      <c r="E629" s="70" t="n"/>
      <c r="F629" s="71" t="n"/>
      <c r="G629" s="72" t="n"/>
      <c r="H629" s="73" t="n"/>
      <c r="I629" s="74">
        <f>IF(OR(E629="",F629=""),"",E629*F629)</f>
        <v/>
      </c>
      <c r="J629" s="75">
        <f>IF(I629="","",IF(D629="Buy",I629+N(G629),IF(D629="Sell",I629-N(G629),IF(D629="Dividend",I629-N(G629),I629+N(G629)))))</f>
        <v/>
      </c>
      <c r="K629" s="76">
        <f>IF(B629="","",DATE(YEAR(B629),MONTH(B629),1))</f>
        <v/>
      </c>
      <c r="L629" s="77">
        <f>IF(B629="","",YEAR(B629))</f>
        <v/>
      </c>
    </row>
    <row r="630" ht="19" customHeight="1">
      <c r="A630" s="69">
        <f>IF(B630="","",ROW()-5)</f>
        <v/>
      </c>
      <c r="B630" s="43" t="n"/>
      <c r="C630" s="41" t="n"/>
      <c r="D630" s="41" t="n"/>
      <c r="E630" s="70" t="n"/>
      <c r="F630" s="71" t="n"/>
      <c r="G630" s="72" t="n"/>
      <c r="H630" s="73" t="n"/>
      <c r="I630" s="74">
        <f>IF(OR(E630="",F630=""),"",E630*F630)</f>
        <v/>
      </c>
      <c r="J630" s="75">
        <f>IF(I630="","",IF(D630="Buy",I630+N(G630),IF(D630="Sell",I630-N(G630),IF(D630="Dividend",I630-N(G630),I630+N(G630)))))</f>
        <v/>
      </c>
      <c r="K630" s="76">
        <f>IF(B630="","",DATE(YEAR(B630),MONTH(B630),1))</f>
        <v/>
      </c>
      <c r="L630" s="77">
        <f>IF(B630="","",YEAR(B630))</f>
        <v/>
      </c>
    </row>
    <row r="631" ht="19" customHeight="1">
      <c r="A631" s="69">
        <f>IF(B631="","",ROW()-5)</f>
        <v/>
      </c>
      <c r="B631" s="43" t="n"/>
      <c r="C631" s="41" t="n"/>
      <c r="D631" s="41" t="n"/>
      <c r="E631" s="70" t="n"/>
      <c r="F631" s="71" t="n"/>
      <c r="G631" s="72" t="n"/>
      <c r="H631" s="73" t="n"/>
      <c r="I631" s="74">
        <f>IF(OR(E631="",F631=""),"",E631*F631)</f>
        <v/>
      </c>
      <c r="J631" s="75">
        <f>IF(I631="","",IF(D631="Buy",I631+N(G631),IF(D631="Sell",I631-N(G631),IF(D631="Dividend",I631-N(G631),I631+N(G631)))))</f>
        <v/>
      </c>
      <c r="K631" s="76">
        <f>IF(B631="","",DATE(YEAR(B631),MONTH(B631),1))</f>
        <v/>
      </c>
      <c r="L631" s="77">
        <f>IF(B631="","",YEAR(B631))</f>
        <v/>
      </c>
    </row>
    <row r="632" ht="19" customHeight="1">
      <c r="A632" s="69">
        <f>IF(B632="","",ROW()-5)</f>
        <v/>
      </c>
      <c r="B632" s="43" t="n"/>
      <c r="C632" s="41" t="n"/>
      <c r="D632" s="41" t="n"/>
      <c r="E632" s="70" t="n"/>
      <c r="F632" s="71" t="n"/>
      <c r="G632" s="72" t="n"/>
      <c r="H632" s="73" t="n"/>
      <c r="I632" s="74">
        <f>IF(OR(E632="",F632=""),"",E632*F632)</f>
        <v/>
      </c>
      <c r="J632" s="75">
        <f>IF(I632="","",IF(D632="Buy",I632+N(G632),IF(D632="Sell",I632-N(G632),IF(D632="Dividend",I632-N(G632),I632+N(G632)))))</f>
        <v/>
      </c>
      <c r="K632" s="76">
        <f>IF(B632="","",DATE(YEAR(B632),MONTH(B632),1))</f>
        <v/>
      </c>
      <c r="L632" s="77">
        <f>IF(B632="","",YEAR(B632))</f>
        <v/>
      </c>
    </row>
    <row r="633" ht="19" customHeight="1">
      <c r="A633" s="69">
        <f>IF(B633="","",ROW()-5)</f>
        <v/>
      </c>
      <c r="B633" s="43" t="n"/>
      <c r="C633" s="41" t="n"/>
      <c r="D633" s="41" t="n"/>
      <c r="E633" s="70" t="n"/>
      <c r="F633" s="71" t="n"/>
      <c r="G633" s="72" t="n"/>
      <c r="H633" s="73" t="n"/>
      <c r="I633" s="74">
        <f>IF(OR(E633="",F633=""),"",E633*F633)</f>
        <v/>
      </c>
      <c r="J633" s="75">
        <f>IF(I633="","",IF(D633="Buy",I633+N(G633),IF(D633="Sell",I633-N(G633),IF(D633="Dividend",I633-N(G633),I633+N(G633)))))</f>
        <v/>
      </c>
      <c r="K633" s="76">
        <f>IF(B633="","",DATE(YEAR(B633),MONTH(B633),1))</f>
        <v/>
      </c>
      <c r="L633" s="77">
        <f>IF(B633="","",YEAR(B633))</f>
        <v/>
      </c>
    </row>
    <row r="634" ht="19" customHeight="1">
      <c r="A634" s="69">
        <f>IF(B634="","",ROW()-5)</f>
        <v/>
      </c>
      <c r="B634" s="43" t="n"/>
      <c r="C634" s="41" t="n"/>
      <c r="D634" s="41" t="n"/>
      <c r="E634" s="70" t="n"/>
      <c r="F634" s="71" t="n"/>
      <c r="G634" s="72" t="n"/>
      <c r="H634" s="73" t="n"/>
      <c r="I634" s="74">
        <f>IF(OR(E634="",F634=""),"",E634*F634)</f>
        <v/>
      </c>
      <c r="J634" s="75">
        <f>IF(I634="","",IF(D634="Buy",I634+N(G634),IF(D634="Sell",I634-N(G634),IF(D634="Dividend",I634-N(G634),I634+N(G634)))))</f>
        <v/>
      </c>
      <c r="K634" s="76">
        <f>IF(B634="","",DATE(YEAR(B634),MONTH(B634),1))</f>
        <v/>
      </c>
      <c r="L634" s="77">
        <f>IF(B634="","",YEAR(B634))</f>
        <v/>
      </c>
    </row>
    <row r="635" ht="19" customHeight="1">
      <c r="A635" s="69">
        <f>IF(B635="","",ROW()-5)</f>
        <v/>
      </c>
      <c r="B635" s="43" t="n"/>
      <c r="C635" s="41" t="n"/>
      <c r="D635" s="41" t="n"/>
      <c r="E635" s="70" t="n"/>
      <c r="F635" s="71" t="n"/>
      <c r="G635" s="72" t="n"/>
      <c r="H635" s="73" t="n"/>
      <c r="I635" s="74">
        <f>IF(OR(E635="",F635=""),"",E635*F635)</f>
        <v/>
      </c>
      <c r="J635" s="75">
        <f>IF(I635="","",IF(D635="Buy",I635+N(G635),IF(D635="Sell",I635-N(G635),IF(D635="Dividend",I635-N(G635),I635+N(G635)))))</f>
        <v/>
      </c>
      <c r="K635" s="76">
        <f>IF(B635="","",DATE(YEAR(B635),MONTH(B635),1))</f>
        <v/>
      </c>
      <c r="L635" s="77">
        <f>IF(B635="","",YEAR(B635))</f>
        <v/>
      </c>
    </row>
    <row r="636" ht="19" customHeight="1">
      <c r="A636" s="69">
        <f>IF(B636="","",ROW()-5)</f>
        <v/>
      </c>
      <c r="B636" s="43" t="n"/>
      <c r="C636" s="41" t="n"/>
      <c r="D636" s="41" t="n"/>
      <c r="E636" s="70" t="n"/>
      <c r="F636" s="71" t="n"/>
      <c r="G636" s="72" t="n"/>
      <c r="H636" s="73" t="n"/>
      <c r="I636" s="74">
        <f>IF(OR(E636="",F636=""),"",E636*F636)</f>
        <v/>
      </c>
      <c r="J636" s="75">
        <f>IF(I636="","",IF(D636="Buy",I636+N(G636),IF(D636="Sell",I636-N(G636),IF(D636="Dividend",I636-N(G636),I636+N(G636)))))</f>
        <v/>
      </c>
      <c r="K636" s="76">
        <f>IF(B636="","",DATE(YEAR(B636),MONTH(B636),1))</f>
        <v/>
      </c>
      <c r="L636" s="77">
        <f>IF(B636="","",YEAR(B636))</f>
        <v/>
      </c>
    </row>
    <row r="637" ht="19" customHeight="1">
      <c r="A637" s="69">
        <f>IF(B637="","",ROW()-5)</f>
        <v/>
      </c>
      <c r="B637" s="43" t="n"/>
      <c r="C637" s="41" t="n"/>
      <c r="D637" s="41" t="n"/>
      <c r="E637" s="70" t="n"/>
      <c r="F637" s="71" t="n"/>
      <c r="G637" s="72" t="n"/>
      <c r="H637" s="73" t="n"/>
      <c r="I637" s="74">
        <f>IF(OR(E637="",F637=""),"",E637*F637)</f>
        <v/>
      </c>
      <c r="J637" s="75">
        <f>IF(I637="","",IF(D637="Buy",I637+N(G637),IF(D637="Sell",I637-N(G637),IF(D637="Dividend",I637-N(G637),I637+N(G637)))))</f>
        <v/>
      </c>
      <c r="K637" s="76">
        <f>IF(B637="","",DATE(YEAR(B637),MONTH(B637),1))</f>
        <v/>
      </c>
      <c r="L637" s="77">
        <f>IF(B637="","",YEAR(B637))</f>
        <v/>
      </c>
    </row>
    <row r="638" ht="19" customHeight="1">
      <c r="A638" s="69">
        <f>IF(B638="","",ROW()-5)</f>
        <v/>
      </c>
      <c r="B638" s="43" t="n"/>
      <c r="C638" s="41" t="n"/>
      <c r="D638" s="41" t="n"/>
      <c r="E638" s="70" t="n"/>
      <c r="F638" s="71" t="n"/>
      <c r="G638" s="72" t="n"/>
      <c r="H638" s="73" t="n"/>
      <c r="I638" s="74">
        <f>IF(OR(E638="",F638=""),"",E638*F638)</f>
        <v/>
      </c>
      <c r="J638" s="75">
        <f>IF(I638="","",IF(D638="Buy",I638+N(G638),IF(D638="Sell",I638-N(G638),IF(D638="Dividend",I638-N(G638),I638+N(G638)))))</f>
        <v/>
      </c>
      <c r="K638" s="76">
        <f>IF(B638="","",DATE(YEAR(B638),MONTH(B638),1))</f>
        <v/>
      </c>
      <c r="L638" s="77">
        <f>IF(B638="","",YEAR(B638))</f>
        <v/>
      </c>
    </row>
    <row r="639" ht="19" customHeight="1">
      <c r="A639" s="69">
        <f>IF(B639="","",ROW()-5)</f>
        <v/>
      </c>
      <c r="B639" s="43" t="n"/>
      <c r="C639" s="41" t="n"/>
      <c r="D639" s="41" t="n"/>
      <c r="E639" s="70" t="n"/>
      <c r="F639" s="71" t="n"/>
      <c r="G639" s="72" t="n"/>
      <c r="H639" s="73" t="n"/>
      <c r="I639" s="74">
        <f>IF(OR(E639="",F639=""),"",E639*F639)</f>
        <v/>
      </c>
      <c r="J639" s="75">
        <f>IF(I639="","",IF(D639="Buy",I639+N(G639),IF(D639="Sell",I639-N(G639),IF(D639="Dividend",I639-N(G639),I639+N(G639)))))</f>
        <v/>
      </c>
      <c r="K639" s="76">
        <f>IF(B639="","",DATE(YEAR(B639),MONTH(B639),1))</f>
        <v/>
      </c>
      <c r="L639" s="77">
        <f>IF(B639="","",YEAR(B639))</f>
        <v/>
      </c>
    </row>
    <row r="640" ht="19" customHeight="1">
      <c r="A640" s="69">
        <f>IF(B640="","",ROW()-5)</f>
        <v/>
      </c>
      <c r="B640" s="43" t="n"/>
      <c r="C640" s="41" t="n"/>
      <c r="D640" s="41" t="n"/>
      <c r="E640" s="70" t="n"/>
      <c r="F640" s="71" t="n"/>
      <c r="G640" s="72" t="n"/>
      <c r="H640" s="73" t="n"/>
      <c r="I640" s="74">
        <f>IF(OR(E640="",F640=""),"",E640*F640)</f>
        <v/>
      </c>
      <c r="J640" s="75">
        <f>IF(I640="","",IF(D640="Buy",I640+N(G640),IF(D640="Sell",I640-N(G640),IF(D640="Dividend",I640-N(G640),I640+N(G640)))))</f>
        <v/>
      </c>
      <c r="K640" s="76">
        <f>IF(B640="","",DATE(YEAR(B640),MONTH(B640),1))</f>
        <v/>
      </c>
      <c r="L640" s="77">
        <f>IF(B640="","",YEAR(B640))</f>
        <v/>
      </c>
    </row>
    <row r="641" ht="19" customHeight="1">
      <c r="A641" s="69">
        <f>IF(B641="","",ROW()-5)</f>
        <v/>
      </c>
      <c r="B641" s="43" t="n"/>
      <c r="C641" s="41" t="n"/>
      <c r="D641" s="41" t="n"/>
      <c r="E641" s="70" t="n"/>
      <c r="F641" s="71" t="n"/>
      <c r="G641" s="72" t="n"/>
      <c r="H641" s="73" t="n"/>
      <c r="I641" s="74">
        <f>IF(OR(E641="",F641=""),"",E641*F641)</f>
        <v/>
      </c>
      <c r="J641" s="75">
        <f>IF(I641="","",IF(D641="Buy",I641+N(G641),IF(D641="Sell",I641-N(G641),IF(D641="Dividend",I641-N(G641),I641+N(G641)))))</f>
        <v/>
      </c>
      <c r="K641" s="76">
        <f>IF(B641="","",DATE(YEAR(B641),MONTH(B641),1))</f>
        <v/>
      </c>
      <c r="L641" s="77">
        <f>IF(B641="","",YEAR(B641))</f>
        <v/>
      </c>
    </row>
    <row r="642" ht="19" customHeight="1">
      <c r="A642" s="69">
        <f>IF(B642="","",ROW()-5)</f>
        <v/>
      </c>
      <c r="B642" s="43" t="n"/>
      <c r="C642" s="41" t="n"/>
      <c r="D642" s="41" t="n"/>
      <c r="E642" s="70" t="n"/>
      <c r="F642" s="71" t="n"/>
      <c r="G642" s="72" t="n"/>
      <c r="H642" s="73" t="n"/>
      <c r="I642" s="74">
        <f>IF(OR(E642="",F642=""),"",E642*F642)</f>
        <v/>
      </c>
      <c r="J642" s="75">
        <f>IF(I642="","",IF(D642="Buy",I642+N(G642),IF(D642="Sell",I642-N(G642),IF(D642="Dividend",I642-N(G642),I642+N(G642)))))</f>
        <v/>
      </c>
      <c r="K642" s="76">
        <f>IF(B642="","",DATE(YEAR(B642),MONTH(B642),1))</f>
        <v/>
      </c>
      <c r="L642" s="77">
        <f>IF(B642="","",YEAR(B642))</f>
        <v/>
      </c>
    </row>
    <row r="643" ht="19" customHeight="1">
      <c r="A643" s="69">
        <f>IF(B643="","",ROW()-5)</f>
        <v/>
      </c>
      <c r="B643" s="43" t="n"/>
      <c r="C643" s="41" t="n"/>
      <c r="D643" s="41" t="n"/>
      <c r="E643" s="70" t="n"/>
      <c r="F643" s="71" t="n"/>
      <c r="G643" s="72" t="n"/>
      <c r="H643" s="73" t="n"/>
      <c r="I643" s="74">
        <f>IF(OR(E643="",F643=""),"",E643*F643)</f>
        <v/>
      </c>
      <c r="J643" s="75">
        <f>IF(I643="","",IF(D643="Buy",I643+N(G643),IF(D643="Sell",I643-N(G643),IF(D643="Dividend",I643-N(G643),I643+N(G643)))))</f>
        <v/>
      </c>
      <c r="K643" s="76">
        <f>IF(B643="","",DATE(YEAR(B643),MONTH(B643),1))</f>
        <v/>
      </c>
      <c r="L643" s="77">
        <f>IF(B643="","",YEAR(B643))</f>
        <v/>
      </c>
    </row>
    <row r="644" ht="19" customHeight="1">
      <c r="A644" s="69">
        <f>IF(B644="","",ROW()-5)</f>
        <v/>
      </c>
      <c r="B644" s="43" t="n"/>
      <c r="C644" s="41" t="n"/>
      <c r="D644" s="41" t="n"/>
      <c r="E644" s="70" t="n"/>
      <c r="F644" s="71" t="n"/>
      <c r="G644" s="72" t="n"/>
      <c r="H644" s="73" t="n"/>
      <c r="I644" s="74">
        <f>IF(OR(E644="",F644=""),"",E644*F644)</f>
        <v/>
      </c>
      <c r="J644" s="75">
        <f>IF(I644="","",IF(D644="Buy",I644+N(G644),IF(D644="Sell",I644-N(G644),IF(D644="Dividend",I644-N(G644),I644+N(G644)))))</f>
        <v/>
      </c>
      <c r="K644" s="76">
        <f>IF(B644="","",DATE(YEAR(B644),MONTH(B644),1))</f>
        <v/>
      </c>
      <c r="L644" s="77">
        <f>IF(B644="","",YEAR(B644))</f>
        <v/>
      </c>
    </row>
    <row r="645" ht="19" customHeight="1">
      <c r="A645" s="69">
        <f>IF(B645="","",ROW()-5)</f>
        <v/>
      </c>
      <c r="B645" s="43" t="n"/>
      <c r="C645" s="41" t="n"/>
      <c r="D645" s="41" t="n"/>
      <c r="E645" s="70" t="n"/>
      <c r="F645" s="71" t="n"/>
      <c r="G645" s="72" t="n"/>
      <c r="H645" s="73" t="n"/>
      <c r="I645" s="74">
        <f>IF(OR(E645="",F645=""),"",E645*F645)</f>
        <v/>
      </c>
      <c r="J645" s="75">
        <f>IF(I645="","",IF(D645="Buy",I645+N(G645),IF(D645="Sell",I645-N(G645),IF(D645="Dividend",I645-N(G645),I645+N(G645)))))</f>
        <v/>
      </c>
      <c r="K645" s="76">
        <f>IF(B645="","",DATE(YEAR(B645),MONTH(B645),1))</f>
        <v/>
      </c>
      <c r="L645" s="77">
        <f>IF(B645="","",YEAR(B645))</f>
        <v/>
      </c>
    </row>
    <row r="646" ht="19" customHeight="1">
      <c r="A646" s="69">
        <f>IF(B646="","",ROW()-5)</f>
        <v/>
      </c>
      <c r="B646" s="43" t="n"/>
      <c r="C646" s="41" t="n"/>
      <c r="D646" s="41" t="n"/>
      <c r="E646" s="70" t="n"/>
      <c r="F646" s="71" t="n"/>
      <c r="G646" s="72" t="n"/>
      <c r="H646" s="73" t="n"/>
      <c r="I646" s="74">
        <f>IF(OR(E646="",F646=""),"",E646*F646)</f>
        <v/>
      </c>
      <c r="J646" s="75">
        <f>IF(I646="","",IF(D646="Buy",I646+N(G646),IF(D646="Sell",I646-N(G646),IF(D646="Dividend",I646-N(G646),I646+N(G646)))))</f>
        <v/>
      </c>
      <c r="K646" s="76">
        <f>IF(B646="","",DATE(YEAR(B646),MONTH(B646),1))</f>
        <v/>
      </c>
      <c r="L646" s="77">
        <f>IF(B646="","",YEAR(B646))</f>
        <v/>
      </c>
    </row>
    <row r="647" ht="19" customHeight="1">
      <c r="A647" s="69">
        <f>IF(B647="","",ROW()-5)</f>
        <v/>
      </c>
      <c r="B647" s="43" t="n"/>
      <c r="C647" s="41" t="n"/>
      <c r="D647" s="41" t="n"/>
      <c r="E647" s="70" t="n"/>
      <c r="F647" s="71" t="n"/>
      <c r="G647" s="72" t="n"/>
      <c r="H647" s="73" t="n"/>
      <c r="I647" s="74">
        <f>IF(OR(E647="",F647=""),"",E647*F647)</f>
        <v/>
      </c>
      <c r="J647" s="75">
        <f>IF(I647="","",IF(D647="Buy",I647+N(G647),IF(D647="Sell",I647-N(G647),IF(D647="Dividend",I647-N(G647),I647+N(G647)))))</f>
        <v/>
      </c>
      <c r="K647" s="76">
        <f>IF(B647="","",DATE(YEAR(B647),MONTH(B647),1))</f>
        <v/>
      </c>
      <c r="L647" s="77">
        <f>IF(B647="","",YEAR(B647))</f>
        <v/>
      </c>
    </row>
    <row r="648" ht="19" customHeight="1">
      <c r="A648" s="69">
        <f>IF(B648="","",ROW()-5)</f>
        <v/>
      </c>
      <c r="B648" s="43" t="n"/>
      <c r="C648" s="41" t="n"/>
      <c r="D648" s="41" t="n"/>
      <c r="E648" s="70" t="n"/>
      <c r="F648" s="71" t="n"/>
      <c r="G648" s="72" t="n"/>
      <c r="H648" s="73" t="n"/>
      <c r="I648" s="74">
        <f>IF(OR(E648="",F648=""),"",E648*F648)</f>
        <v/>
      </c>
      <c r="J648" s="75">
        <f>IF(I648="","",IF(D648="Buy",I648+N(G648),IF(D648="Sell",I648-N(G648),IF(D648="Dividend",I648-N(G648),I648+N(G648)))))</f>
        <v/>
      </c>
      <c r="K648" s="76">
        <f>IF(B648="","",DATE(YEAR(B648),MONTH(B648),1))</f>
        <v/>
      </c>
      <c r="L648" s="77">
        <f>IF(B648="","",YEAR(B648))</f>
        <v/>
      </c>
    </row>
    <row r="649" ht="19" customHeight="1">
      <c r="A649" s="69">
        <f>IF(B649="","",ROW()-5)</f>
        <v/>
      </c>
      <c r="B649" s="43" t="n"/>
      <c r="C649" s="41" t="n"/>
      <c r="D649" s="41" t="n"/>
      <c r="E649" s="70" t="n"/>
      <c r="F649" s="71" t="n"/>
      <c r="G649" s="72" t="n"/>
      <c r="H649" s="73" t="n"/>
      <c r="I649" s="74">
        <f>IF(OR(E649="",F649=""),"",E649*F649)</f>
        <v/>
      </c>
      <c r="J649" s="75">
        <f>IF(I649="","",IF(D649="Buy",I649+N(G649),IF(D649="Sell",I649-N(G649),IF(D649="Dividend",I649-N(G649),I649+N(G649)))))</f>
        <v/>
      </c>
      <c r="K649" s="76">
        <f>IF(B649="","",DATE(YEAR(B649),MONTH(B649),1))</f>
        <v/>
      </c>
      <c r="L649" s="77">
        <f>IF(B649="","",YEAR(B649))</f>
        <v/>
      </c>
    </row>
    <row r="650" ht="19" customHeight="1">
      <c r="A650" s="69">
        <f>IF(B650="","",ROW()-5)</f>
        <v/>
      </c>
      <c r="B650" s="43" t="n"/>
      <c r="C650" s="41" t="n"/>
      <c r="D650" s="41" t="n"/>
      <c r="E650" s="70" t="n"/>
      <c r="F650" s="71" t="n"/>
      <c r="G650" s="72" t="n"/>
      <c r="H650" s="73" t="n"/>
      <c r="I650" s="74">
        <f>IF(OR(E650="",F650=""),"",E650*F650)</f>
        <v/>
      </c>
      <c r="J650" s="75">
        <f>IF(I650="","",IF(D650="Buy",I650+N(G650),IF(D650="Sell",I650-N(G650),IF(D650="Dividend",I650-N(G650),I650+N(G650)))))</f>
        <v/>
      </c>
      <c r="K650" s="76">
        <f>IF(B650="","",DATE(YEAR(B650),MONTH(B650),1))</f>
        <v/>
      </c>
      <c r="L650" s="77">
        <f>IF(B650="","",YEAR(B650))</f>
        <v/>
      </c>
    </row>
    <row r="651" ht="19" customHeight="1">
      <c r="A651" s="69">
        <f>IF(B651="","",ROW()-5)</f>
        <v/>
      </c>
      <c r="B651" s="43" t="n"/>
      <c r="C651" s="41" t="n"/>
      <c r="D651" s="41" t="n"/>
      <c r="E651" s="70" t="n"/>
      <c r="F651" s="71" t="n"/>
      <c r="G651" s="72" t="n"/>
      <c r="H651" s="73" t="n"/>
      <c r="I651" s="74">
        <f>IF(OR(E651="",F651=""),"",E651*F651)</f>
        <v/>
      </c>
      <c r="J651" s="75">
        <f>IF(I651="","",IF(D651="Buy",I651+N(G651),IF(D651="Sell",I651-N(G651),IF(D651="Dividend",I651-N(G651),I651+N(G651)))))</f>
        <v/>
      </c>
      <c r="K651" s="76">
        <f>IF(B651="","",DATE(YEAR(B651),MONTH(B651),1))</f>
        <v/>
      </c>
      <c r="L651" s="77">
        <f>IF(B651="","",YEAR(B651))</f>
        <v/>
      </c>
    </row>
    <row r="652" ht="19" customHeight="1">
      <c r="A652" s="69">
        <f>IF(B652="","",ROW()-5)</f>
        <v/>
      </c>
      <c r="B652" s="43" t="n"/>
      <c r="C652" s="41" t="n"/>
      <c r="D652" s="41" t="n"/>
      <c r="E652" s="70" t="n"/>
      <c r="F652" s="71" t="n"/>
      <c r="G652" s="72" t="n"/>
      <c r="H652" s="73" t="n"/>
      <c r="I652" s="74">
        <f>IF(OR(E652="",F652=""),"",E652*F652)</f>
        <v/>
      </c>
      <c r="J652" s="75">
        <f>IF(I652="","",IF(D652="Buy",I652+N(G652),IF(D652="Sell",I652-N(G652),IF(D652="Dividend",I652-N(G652),I652+N(G652)))))</f>
        <v/>
      </c>
      <c r="K652" s="76">
        <f>IF(B652="","",DATE(YEAR(B652),MONTH(B652),1))</f>
        <v/>
      </c>
      <c r="L652" s="77">
        <f>IF(B652="","",YEAR(B652))</f>
        <v/>
      </c>
    </row>
    <row r="653" ht="19" customHeight="1">
      <c r="A653" s="69">
        <f>IF(B653="","",ROW()-5)</f>
        <v/>
      </c>
      <c r="B653" s="43" t="n"/>
      <c r="C653" s="41" t="n"/>
      <c r="D653" s="41" t="n"/>
      <c r="E653" s="70" t="n"/>
      <c r="F653" s="71" t="n"/>
      <c r="G653" s="72" t="n"/>
      <c r="H653" s="73" t="n"/>
      <c r="I653" s="74">
        <f>IF(OR(E653="",F653=""),"",E653*F653)</f>
        <v/>
      </c>
      <c r="J653" s="75">
        <f>IF(I653="","",IF(D653="Buy",I653+N(G653),IF(D653="Sell",I653-N(G653),IF(D653="Dividend",I653-N(G653),I653+N(G653)))))</f>
        <v/>
      </c>
      <c r="K653" s="76">
        <f>IF(B653="","",DATE(YEAR(B653),MONTH(B653),1))</f>
        <v/>
      </c>
      <c r="L653" s="77">
        <f>IF(B653="","",YEAR(B653))</f>
        <v/>
      </c>
    </row>
    <row r="654" ht="19" customHeight="1">
      <c r="A654" s="69">
        <f>IF(B654="","",ROW()-5)</f>
        <v/>
      </c>
      <c r="B654" s="43" t="n"/>
      <c r="C654" s="41" t="n"/>
      <c r="D654" s="41" t="n"/>
      <c r="E654" s="70" t="n"/>
      <c r="F654" s="71" t="n"/>
      <c r="G654" s="72" t="n"/>
      <c r="H654" s="73" t="n"/>
      <c r="I654" s="74">
        <f>IF(OR(E654="",F654=""),"",E654*F654)</f>
        <v/>
      </c>
      <c r="J654" s="75">
        <f>IF(I654="","",IF(D654="Buy",I654+N(G654),IF(D654="Sell",I654-N(G654),IF(D654="Dividend",I654-N(G654),I654+N(G654)))))</f>
        <v/>
      </c>
      <c r="K654" s="76">
        <f>IF(B654="","",DATE(YEAR(B654),MONTH(B654),1))</f>
        <v/>
      </c>
      <c r="L654" s="77">
        <f>IF(B654="","",YEAR(B654))</f>
        <v/>
      </c>
    </row>
    <row r="655" ht="19" customHeight="1">
      <c r="A655" s="69">
        <f>IF(B655="","",ROW()-5)</f>
        <v/>
      </c>
      <c r="B655" s="43" t="n"/>
      <c r="C655" s="41" t="n"/>
      <c r="D655" s="41" t="n"/>
      <c r="E655" s="70" t="n"/>
      <c r="F655" s="71" t="n"/>
      <c r="G655" s="72" t="n"/>
      <c r="H655" s="73" t="n"/>
      <c r="I655" s="74">
        <f>IF(OR(E655="",F655=""),"",E655*F655)</f>
        <v/>
      </c>
      <c r="J655" s="75">
        <f>IF(I655="","",IF(D655="Buy",I655+N(G655),IF(D655="Sell",I655-N(G655),IF(D655="Dividend",I655-N(G655),I655+N(G655)))))</f>
        <v/>
      </c>
      <c r="K655" s="76">
        <f>IF(B655="","",DATE(YEAR(B655),MONTH(B655),1))</f>
        <v/>
      </c>
      <c r="L655" s="77">
        <f>IF(B655="","",YEAR(B655))</f>
        <v/>
      </c>
    </row>
    <row r="656" ht="19" customHeight="1">
      <c r="A656" s="69">
        <f>IF(B656="","",ROW()-5)</f>
        <v/>
      </c>
      <c r="B656" s="43" t="n"/>
      <c r="C656" s="41" t="n"/>
      <c r="D656" s="41" t="n"/>
      <c r="E656" s="70" t="n"/>
      <c r="F656" s="71" t="n"/>
      <c r="G656" s="72" t="n"/>
      <c r="H656" s="73" t="n"/>
      <c r="I656" s="74">
        <f>IF(OR(E656="",F656=""),"",E656*F656)</f>
        <v/>
      </c>
      <c r="J656" s="75">
        <f>IF(I656="","",IF(D656="Buy",I656+N(G656),IF(D656="Sell",I656-N(G656),IF(D656="Dividend",I656-N(G656),I656+N(G656)))))</f>
        <v/>
      </c>
      <c r="K656" s="76">
        <f>IF(B656="","",DATE(YEAR(B656),MONTH(B656),1))</f>
        <v/>
      </c>
      <c r="L656" s="77">
        <f>IF(B656="","",YEAR(B656))</f>
        <v/>
      </c>
    </row>
    <row r="657" ht="19" customHeight="1">
      <c r="A657" s="69">
        <f>IF(B657="","",ROW()-5)</f>
        <v/>
      </c>
      <c r="B657" s="43" t="n"/>
      <c r="C657" s="41" t="n"/>
      <c r="D657" s="41" t="n"/>
      <c r="E657" s="70" t="n"/>
      <c r="F657" s="71" t="n"/>
      <c r="G657" s="72" t="n"/>
      <c r="H657" s="73" t="n"/>
      <c r="I657" s="74">
        <f>IF(OR(E657="",F657=""),"",E657*F657)</f>
        <v/>
      </c>
      <c r="J657" s="75">
        <f>IF(I657="","",IF(D657="Buy",I657+N(G657),IF(D657="Sell",I657-N(G657),IF(D657="Dividend",I657-N(G657),I657+N(G657)))))</f>
        <v/>
      </c>
      <c r="K657" s="76">
        <f>IF(B657="","",DATE(YEAR(B657),MONTH(B657),1))</f>
        <v/>
      </c>
      <c r="L657" s="77">
        <f>IF(B657="","",YEAR(B657))</f>
        <v/>
      </c>
    </row>
    <row r="658" ht="19" customHeight="1">
      <c r="A658" s="69">
        <f>IF(B658="","",ROW()-5)</f>
        <v/>
      </c>
      <c r="B658" s="43" t="n"/>
      <c r="C658" s="41" t="n"/>
      <c r="D658" s="41" t="n"/>
      <c r="E658" s="70" t="n"/>
      <c r="F658" s="71" t="n"/>
      <c r="G658" s="72" t="n"/>
      <c r="H658" s="73" t="n"/>
      <c r="I658" s="74">
        <f>IF(OR(E658="",F658=""),"",E658*F658)</f>
        <v/>
      </c>
      <c r="J658" s="75">
        <f>IF(I658="","",IF(D658="Buy",I658+N(G658),IF(D658="Sell",I658-N(G658),IF(D658="Dividend",I658-N(G658),I658+N(G658)))))</f>
        <v/>
      </c>
      <c r="K658" s="76">
        <f>IF(B658="","",DATE(YEAR(B658),MONTH(B658),1))</f>
        <v/>
      </c>
      <c r="L658" s="77">
        <f>IF(B658="","",YEAR(B658))</f>
        <v/>
      </c>
    </row>
    <row r="659" ht="19" customHeight="1">
      <c r="A659" s="69">
        <f>IF(B659="","",ROW()-5)</f>
        <v/>
      </c>
      <c r="B659" s="43" t="n"/>
      <c r="C659" s="41" t="n"/>
      <c r="D659" s="41" t="n"/>
      <c r="E659" s="70" t="n"/>
      <c r="F659" s="71" t="n"/>
      <c r="G659" s="72" t="n"/>
      <c r="H659" s="73" t="n"/>
      <c r="I659" s="74">
        <f>IF(OR(E659="",F659=""),"",E659*F659)</f>
        <v/>
      </c>
      <c r="J659" s="75">
        <f>IF(I659="","",IF(D659="Buy",I659+N(G659),IF(D659="Sell",I659-N(G659),IF(D659="Dividend",I659-N(G659),I659+N(G659)))))</f>
        <v/>
      </c>
      <c r="K659" s="76">
        <f>IF(B659="","",DATE(YEAR(B659),MONTH(B659),1))</f>
        <v/>
      </c>
      <c r="L659" s="77">
        <f>IF(B659="","",YEAR(B659))</f>
        <v/>
      </c>
    </row>
    <row r="660" ht="19" customHeight="1">
      <c r="A660" s="69">
        <f>IF(B660="","",ROW()-5)</f>
        <v/>
      </c>
      <c r="B660" s="43" t="n"/>
      <c r="C660" s="41" t="n"/>
      <c r="D660" s="41" t="n"/>
      <c r="E660" s="70" t="n"/>
      <c r="F660" s="71" t="n"/>
      <c r="G660" s="72" t="n"/>
      <c r="H660" s="73" t="n"/>
      <c r="I660" s="74">
        <f>IF(OR(E660="",F660=""),"",E660*F660)</f>
        <v/>
      </c>
      <c r="J660" s="75">
        <f>IF(I660="","",IF(D660="Buy",I660+N(G660),IF(D660="Sell",I660-N(G660),IF(D660="Dividend",I660-N(G660),I660+N(G660)))))</f>
        <v/>
      </c>
      <c r="K660" s="76">
        <f>IF(B660="","",DATE(YEAR(B660),MONTH(B660),1))</f>
        <v/>
      </c>
      <c r="L660" s="77">
        <f>IF(B660="","",YEAR(B660))</f>
        <v/>
      </c>
    </row>
    <row r="661" ht="19" customHeight="1">
      <c r="A661" s="69">
        <f>IF(B661="","",ROW()-5)</f>
        <v/>
      </c>
      <c r="B661" s="43" t="n"/>
      <c r="C661" s="41" t="n"/>
      <c r="D661" s="41" t="n"/>
      <c r="E661" s="70" t="n"/>
      <c r="F661" s="71" t="n"/>
      <c r="G661" s="72" t="n"/>
      <c r="H661" s="73" t="n"/>
      <c r="I661" s="74">
        <f>IF(OR(E661="",F661=""),"",E661*F661)</f>
        <v/>
      </c>
      <c r="J661" s="75">
        <f>IF(I661="","",IF(D661="Buy",I661+N(G661),IF(D661="Sell",I661-N(G661),IF(D661="Dividend",I661-N(G661),I661+N(G661)))))</f>
        <v/>
      </c>
      <c r="K661" s="76">
        <f>IF(B661="","",DATE(YEAR(B661),MONTH(B661),1))</f>
        <v/>
      </c>
      <c r="L661" s="77">
        <f>IF(B661="","",YEAR(B661))</f>
        <v/>
      </c>
    </row>
    <row r="662" ht="19" customHeight="1">
      <c r="A662" s="69">
        <f>IF(B662="","",ROW()-5)</f>
        <v/>
      </c>
      <c r="B662" s="43" t="n"/>
      <c r="C662" s="41" t="n"/>
      <c r="D662" s="41" t="n"/>
      <c r="E662" s="70" t="n"/>
      <c r="F662" s="71" t="n"/>
      <c r="G662" s="72" t="n"/>
      <c r="H662" s="73" t="n"/>
      <c r="I662" s="74">
        <f>IF(OR(E662="",F662=""),"",E662*F662)</f>
        <v/>
      </c>
      <c r="J662" s="75">
        <f>IF(I662="","",IF(D662="Buy",I662+N(G662),IF(D662="Sell",I662-N(G662),IF(D662="Dividend",I662-N(G662),I662+N(G662)))))</f>
        <v/>
      </c>
      <c r="K662" s="76">
        <f>IF(B662="","",DATE(YEAR(B662),MONTH(B662),1))</f>
        <v/>
      </c>
      <c r="L662" s="77">
        <f>IF(B662="","",YEAR(B662))</f>
        <v/>
      </c>
    </row>
    <row r="663" ht="19" customHeight="1">
      <c r="A663" s="69">
        <f>IF(B663="","",ROW()-5)</f>
        <v/>
      </c>
      <c r="B663" s="43" t="n"/>
      <c r="C663" s="41" t="n"/>
      <c r="D663" s="41" t="n"/>
      <c r="E663" s="70" t="n"/>
      <c r="F663" s="71" t="n"/>
      <c r="G663" s="72" t="n"/>
      <c r="H663" s="73" t="n"/>
      <c r="I663" s="74">
        <f>IF(OR(E663="",F663=""),"",E663*F663)</f>
        <v/>
      </c>
      <c r="J663" s="75">
        <f>IF(I663="","",IF(D663="Buy",I663+N(G663),IF(D663="Sell",I663-N(G663),IF(D663="Dividend",I663-N(G663),I663+N(G663)))))</f>
        <v/>
      </c>
      <c r="K663" s="76">
        <f>IF(B663="","",DATE(YEAR(B663),MONTH(B663),1))</f>
        <v/>
      </c>
      <c r="L663" s="77">
        <f>IF(B663="","",YEAR(B663))</f>
        <v/>
      </c>
    </row>
    <row r="664" ht="19" customHeight="1">
      <c r="A664" s="69">
        <f>IF(B664="","",ROW()-5)</f>
        <v/>
      </c>
      <c r="B664" s="43" t="n"/>
      <c r="C664" s="41" t="n"/>
      <c r="D664" s="41" t="n"/>
      <c r="E664" s="70" t="n"/>
      <c r="F664" s="71" t="n"/>
      <c r="G664" s="72" t="n"/>
      <c r="H664" s="73" t="n"/>
      <c r="I664" s="74">
        <f>IF(OR(E664="",F664=""),"",E664*F664)</f>
        <v/>
      </c>
      <c r="J664" s="75">
        <f>IF(I664="","",IF(D664="Buy",I664+N(G664),IF(D664="Sell",I664-N(G664),IF(D664="Dividend",I664-N(G664),I664+N(G664)))))</f>
        <v/>
      </c>
      <c r="K664" s="76">
        <f>IF(B664="","",DATE(YEAR(B664),MONTH(B664),1))</f>
        <v/>
      </c>
      <c r="L664" s="77">
        <f>IF(B664="","",YEAR(B664))</f>
        <v/>
      </c>
    </row>
    <row r="665" ht="19" customHeight="1">
      <c r="A665" s="69">
        <f>IF(B665="","",ROW()-5)</f>
        <v/>
      </c>
      <c r="B665" s="43" t="n"/>
      <c r="C665" s="41" t="n"/>
      <c r="D665" s="41" t="n"/>
      <c r="E665" s="70" t="n"/>
      <c r="F665" s="71" t="n"/>
      <c r="G665" s="72" t="n"/>
      <c r="H665" s="73" t="n"/>
      <c r="I665" s="74">
        <f>IF(OR(E665="",F665=""),"",E665*F665)</f>
        <v/>
      </c>
      <c r="J665" s="75">
        <f>IF(I665="","",IF(D665="Buy",I665+N(G665),IF(D665="Sell",I665-N(G665),IF(D665="Dividend",I665-N(G665),I665+N(G665)))))</f>
        <v/>
      </c>
      <c r="K665" s="76">
        <f>IF(B665="","",DATE(YEAR(B665),MONTH(B665),1))</f>
        <v/>
      </c>
      <c r="L665" s="77">
        <f>IF(B665="","",YEAR(B665))</f>
        <v/>
      </c>
    </row>
    <row r="666" ht="19" customHeight="1">
      <c r="A666" s="69">
        <f>IF(B666="","",ROW()-5)</f>
        <v/>
      </c>
      <c r="B666" s="43" t="n"/>
      <c r="C666" s="41" t="n"/>
      <c r="D666" s="41" t="n"/>
      <c r="E666" s="70" t="n"/>
      <c r="F666" s="71" t="n"/>
      <c r="G666" s="72" t="n"/>
      <c r="H666" s="73" t="n"/>
      <c r="I666" s="74">
        <f>IF(OR(E666="",F666=""),"",E666*F666)</f>
        <v/>
      </c>
      <c r="J666" s="75">
        <f>IF(I666="","",IF(D666="Buy",I666+N(G666),IF(D666="Sell",I666-N(G666),IF(D666="Dividend",I666-N(G666),I666+N(G666)))))</f>
        <v/>
      </c>
      <c r="K666" s="76">
        <f>IF(B666="","",DATE(YEAR(B666),MONTH(B666),1))</f>
        <v/>
      </c>
      <c r="L666" s="77">
        <f>IF(B666="","",YEAR(B666))</f>
        <v/>
      </c>
    </row>
    <row r="667" ht="19" customHeight="1">
      <c r="A667" s="69">
        <f>IF(B667="","",ROW()-5)</f>
        <v/>
      </c>
      <c r="B667" s="43" t="n"/>
      <c r="C667" s="41" t="n"/>
      <c r="D667" s="41" t="n"/>
      <c r="E667" s="70" t="n"/>
      <c r="F667" s="71" t="n"/>
      <c r="G667" s="72" t="n"/>
      <c r="H667" s="73" t="n"/>
      <c r="I667" s="74">
        <f>IF(OR(E667="",F667=""),"",E667*F667)</f>
        <v/>
      </c>
      <c r="J667" s="75">
        <f>IF(I667="","",IF(D667="Buy",I667+N(G667),IF(D667="Sell",I667-N(G667),IF(D667="Dividend",I667-N(G667),I667+N(G667)))))</f>
        <v/>
      </c>
      <c r="K667" s="76">
        <f>IF(B667="","",DATE(YEAR(B667),MONTH(B667),1))</f>
        <v/>
      </c>
      <c r="L667" s="77">
        <f>IF(B667="","",YEAR(B667))</f>
        <v/>
      </c>
    </row>
    <row r="668" ht="19" customHeight="1">
      <c r="A668" s="69">
        <f>IF(B668="","",ROW()-5)</f>
        <v/>
      </c>
      <c r="B668" s="43" t="n"/>
      <c r="C668" s="41" t="n"/>
      <c r="D668" s="41" t="n"/>
      <c r="E668" s="70" t="n"/>
      <c r="F668" s="71" t="n"/>
      <c r="G668" s="72" t="n"/>
      <c r="H668" s="73" t="n"/>
      <c r="I668" s="74">
        <f>IF(OR(E668="",F668=""),"",E668*F668)</f>
        <v/>
      </c>
      <c r="J668" s="75">
        <f>IF(I668="","",IF(D668="Buy",I668+N(G668),IF(D668="Sell",I668-N(G668),IF(D668="Dividend",I668-N(G668),I668+N(G668)))))</f>
        <v/>
      </c>
      <c r="K668" s="76">
        <f>IF(B668="","",DATE(YEAR(B668),MONTH(B668),1))</f>
        <v/>
      </c>
      <c r="L668" s="77">
        <f>IF(B668="","",YEAR(B668))</f>
        <v/>
      </c>
    </row>
    <row r="669" ht="19" customHeight="1">
      <c r="A669" s="69">
        <f>IF(B669="","",ROW()-5)</f>
        <v/>
      </c>
      <c r="B669" s="43" t="n"/>
      <c r="C669" s="41" t="n"/>
      <c r="D669" s="41" t="n"/>
      <c r="E669" s="70" t="n"/>
      <c r="F669" s="71" t="n"/>
      <c r="G669" s="72" t="n"/>
      <c r="H669" s="73" t="n"/>
      <c r="I669" s="74">
        <f>IF(OR(E669="",F669=""),"",E669*F669)</f>
        <v/>
      </c>
      <c r="J669" s="75">
        <f>IF(I669="","",IF(D669="Buy",I669+N(G669),IF(D669="Sell",I669-N(G669),IF(D669="Dividend",I669-N(G669),I669+N(G669)))))</f>
        <v/>
      </c>
      <c r="K669" s="76">
        <f>IF(B669="","",DATE(YEAR(B669),MONTH(B669),1))</f>
        <v/>
      </c>
      <c r="L669" s="77">
        <f>IF(B669="","",YEAR(B669))</f>
        <v/>
      </c>
    </row>
    <row r="670" ht="19" customHeight="1">
      <c r="A670" s="69">
        <f>IF(B670="","",ROW()-5)</f>
        <v/>
      </c>
      <c r="B670" s="43" t="n"/>
      <c r="C670" s="41" t="n"/>
      <c r="D670" s="41" t="n"/>
      <c r="E670" s="70" t="n"/>
      <c r="F670" s="71" t="n"/>
      <c r="G670" s="72" t="n"/>
      <c r="H670" s="73" t="n"/>
      <c r="I670" s="74">
        <f>IF(OR(E670="",F670=""),"",E670*F670)</f>
        <v/>
      </c>
      <c r="J670" s="75">
        <f>IF(I670="","",IF(D670="Buy",I670+N(G670),IF(D670="Sell",I670-N(G670),IF(D670="Dividend",I670-N(G670),I670+N(G670)))))</f>
        <v/>
      </c>
      <c r="K670" s="76">
        <f>IF(B670="","",DATE(YEAR(B670),MONTH(B670),1))</f>
        <v/>
      </c>
      <c r="L670" s="77">
        <f>IF(B670="","",YEAR(B670))</f>
        <v/>
      </c>
    </row>
    <row r="671" ht="19" customHeight="1">
      <c r="A671" s="69">
        <f>IF(B671="","",ROW()-5)</f>
        <v/>
      </c>
      <c r="B671" s="43" t="n"/>
      <c r="C671" s="41" t="n"/>
      <c r="D671" s="41" t="n"/>
      <c r="E671" s="70" t="n"/>
      <c r="F671" s="71" t="n"/>
      <c r="G671" s="72" t="n"/>
      <c r="H671" s="73" t="n"/>
      <c r="I671" s="74">
        <f>IF(OR(E671="",F671=""),"",E671*F671)</f>
        <v/>
      </c>
      <c r="J671" s="75">
        <f>IF(I671="","",IF(D671="Buy",I671+N(G671),IF(D671="Sell",I671-N(G671),IF(D671="Dividend",I671-N(G671),I671+N(G671)))))</f>
        <v/>
      </c>
      <c r="K671" s="76">
        <f>IF(B671="","",DATE(YEAR(B671),MONTH(B671),1))</f>
        <v/>
      </c>
      <c r="L671" s="77">
        <f>IF(B671="","",YEAR(B671))</f>
        <v/>
      </c>
    </row>
    <row r="672" ht="19" customHeight="1">
      <c r="A672" s="69">
        <f>IF(B672="","",ROW()-5)</f>
        <v/>
      </c>
      <c r="B672" s="43" t="n"/>
      <c r="C672" s="41" t="n"/>
      <c r="D672" s="41" t="n"/>
      <c r="E672" s="70" t="n"/>
      <c r="F672" s="71" t="n"/>
      <c r="G672" s="72" t="n"/>
      <c r="H672" s="73" t="n"/>
      <c r="I672" s="74">
        <f>IF(OR(E672="",F672=""),"",E672*F672)</f>
        <v/>
      </c>
      <c r="J672" s="75">
        <f>IF(I672="","",IF(D672="Buy",I672+N(G672),IF(D672="Sell",I672-N(G672),IF(D672="Dividend",I672-N(G672),I672+N(G672)))))</f>
        <v/>
      </c>
      <c r="K672" s="76">
        <f>IF(B672="","",DATE(YEAR(B672),MONTH(B672),1))</f>
        <v/>
      </c>
      <c r="L672" s="77">
        <f>IF(B672="","",YEAR(B672))</f>
        <v/>
      </c>
    </row>
    <row r="673" ht="19" customHeight="1">
      <c r="A673" s="69">
        <f>IF(B673="","",ROW()-5)</f>
        <v/>
      </c>
      <c r="B673" s="43" t="n"/>
      <c r="C673" s="41" t="n"/>
      <c r="D673" s="41" t="n"/>
      <c r="E673" s="70" t="n"/>
      <c r="F673" s="71" t="n"/>
      <c r="G673" s="72" t="n"/>
      <c r="H673" s="73" t="n"/>
      <c r="I673" s="74">
        <f>IF(OR(E673="",F673=""),"",E673*F673)</f>
        <v/>
      </c>
      <c r="J673" s="75">
        <f>IF(I673="","",IF(D673="Buy",I673+N(G673),IF(D673="Sell",I673-N(G673),IF(D673="Dividend",I673-N(G673),I673+N(G673)))))</f>
        <v/>
      </c>
      <c r="K673" s="76">
        <f>IF(B673="","",DATE(YEAR(B673),MONTH(B673),1))</f>
        <v/>
      </c>
      <c r="L673" s="77">
        <f>IF(B673="","",YEAR(B673))</f>
        <v/>
      </c>
    </row>
    <row r="674" ht="19" customHeight="1">
      <c r="A674" s="69">
        <f>IF(B674="","",ROW()-5)</f>
        <v/>
      </c>
      <c r="B674" s="43" t="n"/>
      <c r="C674" s="41" t="n"/>
      <c r="D674" s="41" t="n"/>
      <c r="E674" s="70" t="n"/>
      <c r="F674" s="71" t="n"/>
      <c r="G674" s="72" t="n"/>
      <c r="H674" s="73" t="n"/>
      <c r="I674" s="74">
        <f>IF(OR(E674="",F674=""),"",E674*F674)</f>
        <v/>
      </c>
      <c r="J674" s="75">
        <f>IF(I674="","",IF(D674="Buy",I674+N(G674),IF(D674="Sell",I674-N(G674),IF(D674="Dividend",I674-N(G674),I674+N(G674)))))</f>
        <v/>
      </c>
      <c r="K674" s="76">
        <f>IF(B674="","",DATE(YEAR(B674),MONTH(B674),1))</f>
        <v/>
      </c>
      <c r="L674" s="77">
        <f>IF(B674="","",YEAR(B674))</f>
        <v/>
      </c>
    </row>
    <row r="675" ht="19" customHeight="1">
      <c r="A675" s="69">
        <f>IF(B675="","",ROW()-5)</f>
        <v/>
      </c>
      <c r="B675" s="43" t="n"/>
      <c r="C675" s="41" t="n"/>
      <c r="D675" s="41" t="n"/>
      <c r="E675" s="70" t="n"/>
      <c r="F675" s="71" t="n"/>
      <c r="G675" s="72" t="n"/>
      <c r="H675" s="73" t="n"/>
      <c r="I675" s="74">
        <f>IF(OR(E675="",F675=""),"",E675*F675)</f>
        <v/>
      </c>
      <c r="J675" s="75">
        <f>IF(I675="","",IF(D675="Buy",I675+N(G675),IF(D675="Sell",I675-N(G675),IF(D675="Dividend",I675-N(G675),I675+N(G675)))))</f>
        <v/>
      </c>
      <c r="K675" s="76">
        <f>IF(B675="","",DATE(YEAR(B675),MONTH(B675),1))</f>
        <v/>
      </c>
      <c r="L675" s="77">
        <f>IF(B675="","",YEAR(B675))</f>
        <v/>
      </c>
    </row>
    <row r="676" ht="19" customHeight="1">
      <c r="A676" s="69">
        <f>IF(B676="","",ROW()-5)</f>
        <v/>
      </c>
      <c r="B676" s="43" t="n"/>
      <c r="C676" s="41" t="n"/>
      <c r="D676" s="41" t="n"/>
      <c r="E676" s="70" t="n"/>
      <c r="F676" s="71" t="n"/>
      <c r="G676" s="72" t="n"/>
      <c r="H676" s="73" t="n"/>
      <c r="I676" s="74">
        <f>IF(OR(E676="",F676=""),"",E676*F676)</f>
        <v/>
      </c>
      <c r="J676" s="75">
        <f>IF(I676="","",IF(D676="Buy",I676+N(G676),IF(D676="Sell",I676-N(G676),IF(D676="Dividend",I676-N(G676),I676+N(G676)))))</f>
        <v/>
      </c>
      <c r="K676" s="76">
        <f>IF(B676="","",DATE(YEAR(B676),MONTH(B676),1))</f>
        <v/>
      </c>
      <c r="L676" s="77">
        <f>IF(B676="","",YEAR(B676))</f>
        <v/>
      </c>
    </row>
    <row r="677" ht="19" customHeight="1">
      <c r="A677" s="69">
        <f>IF(B677="","",ROW()-5)</f>
        <v/>
      </c>
      <c r="B677" s="43" t="n"/>
      <c r="C677" s="41" t="n"/>
      <c r="D677" s="41" t="n"/>
      <c r="E677" s="70" t="n"/>
      <c r="F677" s="71" t="n"/>
      <c r="G677" s="72" t="n"/>
      <c r="H677" s="73" t="n"/>
      <c r="I677" s="74">
        <f>IF(OR(E677="",F677=""),"",E677*F677)</f>
        <v/>
      </c>
      <c r="J677" s="75">
        <f>IF(I677="","",IF(D677="Buy",I677+N(G677),IF(D677="Sell",I677-N(G677),IF(D677="Dividend",I677-N(G677),I677+N(G677)))))</f>
        <v/>
      </c>
      <c r="K677" s="76">
        <f>IF(B677="","",DATE(YEAR(B677),MONTH(B677),1))</f>
        <v/>
      </c>
      <c r="L677" s="77">
        <f>IF(B677="","",YEAR(B677))</f>
        <v/>
      </c>
    </row>
    <row r="678" ht="19" customHeight="1">
      <c r="A678" s="69">
        <f>IF(B678="","",ROW()-5)</f>
        <v/>
      </c>
      <c r="B678" s="43" t="n"/>
      <c r="C678" s="41" t="n"/>
      <c r="D678" s="41" t="n"/>
      <c r="E678" s="70" t="n"/>
      <c r="F678" s="71" t="n"/>
      <c r="G678" s="72" t="n"/>
      <c r="H678" s="73" t="n"/>
      <c r="I678" s="74">
        <f>IF(OR(E678="",F678=""),"",E678*F678)</f>
        <v/>
      </c>
      <c r="J678" s="75">
        <f>IF(I678="","",IF(D678="Buy",I678+N(G678),IF(D678="Sell",I678-N(G678),IF(D678="Dividend",I678-N(G678),I678+N(G678)))))</f>
        <v/>
      </c>
      <c r="K678" s="76">
        <f>IF(B678="","",DATE(YEAR(B678),MONTH(B678),1))</f>
        <v/>
      </c>
      <c r="L678" s="77">
        <f>IF(B678="","",YEAR(B678))</f>
        <v/>
      </c>
    </row>
    <row r="679" ht="19" customHeight="1">
      <c r="A679" s="69">
        <f>IF(B679="","",ROW()-5)</f>
        <v/>
      </c>
      <c r="B679" s="43" t="n"/>
      <c r="C679" s="41" t="n"/>
      <c r="D679" s="41" t="n"/>
      <c r="E679" s="70" t="n"/>
      <c r="F679" s="71" t="n"/>
      <c r="G679" s="72" t="n"/>
      <c r="H679" s="73" t="n"/>
      <c r="I679" s="74">
        <f>IF(OR(E679="",F679=""),"",E679*F679)</f>
        <v/>
      </c>
      <c r="J679" s="75">
        <f>IF(I679="","",IF(D679="Buy",I679+N(G679),IF(D679="Sell",I679-N(G679),IF(D679="Dividend",I679-N(G679),I679+N(G679)))))</f>
        <v/>
      </c>
      <c r="K679" s="76">
        <f>IF(B679="","",DATE(YEAR(B679),MONTH(B679),1))</f>
        <v/>
      </c>
      <c r="L679" s="77">
        <f>IF(B679="","",YEAR(B679))</f>
        <v/>
      </c>
    </row>
    <row r="680" ht="19" customHeight="1">
      <c r="A680" s="69">
        <f>IF(B680="","",ROW()-5)</f>
        <v/>
      </c>
      <c r="B680" s="43" t="n"/>
      <c r="C680" s="41" t="n"/>
      <c r="D680" s="41" t="n"/>
      <c r="E680" s="70" t="n"/>
      <c r="F680" s="71" t="n"/>
      <c r="G680" s="72" t="n"/>
      <c r="H680" s="73" t="n"/>
      <c r="I680" s="74">
        <f>IF(OR(E680="",F680=""),"",E680*F680)</f>
        <v/>
      </c>
      <c r="J680" s="75">
        <f>IF(I680="","",IF(D680="Buy",I680+N(G680),IF(D680="Sell",I680-N(G680),IF(D680="Dividend",I680-N(G680),I680+N(G680)))))</f>
        <v/>
      </c>
      <c r="K680" s="76">
        <f>IF(B680="","",DATE(YEAR(B680),MONTH(B680),1))</f>
        <v/>
      </c>
      <c r="L680" s="77">
        <f>IF(B680="","",YEAR(B680))</f>
        <v/>
      </c>
    </row>
    <row r="681" ht="19" customHeight="1">
      <c r="A681" s="69">
        <f>IF(B681="","",ROW()-5)</f>
        <v/>
      </c>
      <c r="B681" s="43" t="n"/>
      <c r="C681" s="41" t="n"/>
      <c r="D681" s="41" t="n"/>
      <c r="E681" s="70" t="n"/>
      <c r="F681" s="71" t="n"/>
      <c r="G681" s="72" t="n"/>
      <c r="H681" s="73" t="n"/>
      <c r="I681" s="74">
        <f>IF(OR(E681="",F681=""),"",E681*F681)</f>
        <v/>
      </c>
      <c r="J681" s="75">
        <f>IF(I681="","",IF(D681="Buy",I681+N(G681),IF(D681="Sell",I681-N(G681),IF(D681="Dividend",I681-N(G681),I681+N(G681)))))</f>
        <v/>
      </c>
      <c r="K681" s="76">
        <f>IF(B681="","",DATE(YEAR(B681),MONTH(B681),1))</f>
        <v/>
      </c>
      <c r="L681" s="77">
        <f>IF(B681="","",YEAR(B681))</f>
        <v/>
      </c>
    </row>
    <row r="682" ht="19" customHeight="1">
      <c r="A682" s="69">
        <f>IF(B682="","",ROW()-5)</f>
        <v/>
      </c>
      <c r="B682" s="43" t="n"/>
      <c r="C682" s="41" t="n"/>
      <c r="D682" s="41" t="n"/>
      <c r="E682" s="70" t="n"/>
      <c r="F682" s="71" t="n"/>
      <c r="G682" s="72" t="n"/>
      <c r="H682" s="73" t="n"/>
      <c r="I682" s="74">
        <f>IF(OR(E682="",F682=""),"",E682*F682)</f>
        <v/>
      </c>
      <c r="J682" s="75">
        <f>IF(I682="","",IF(D682="Buy",I682+N(G682),IF(D682="Sell",I682-N(G682),IF(D682="Dividend",I682-N(G682),I682+N(G682)))))</f>
        <v/>
      </c>
      <c r="K682" s="76">
        <f>IF(B682="","",DATE(YEAR(B682),MONTH(B682),1))</f>
        <v/>
      </c>
      <c r="L682" s="77">
        <f>IF(B682="","",YEAR(B682))</f>
        <v/>
      </c>
    </row>
    <row r="683" ht="19" customHeight="1">
      <c r="A683" s="69">
        <f>IF(B683="","",ROW()-5)</f>
        <v/>
      </c>
      <c r="B683" s="43" t="n"/>
      <c r="C683" s="41" t="n"/>
      <c r="D683" s="41" t="n"/>
      <c r="E683" s="70" t="n"/>
      <c r="F683" s="71" t="n"/>
      <c r="G683" s="72" t="n"/>
      <c r="H683" s="73" t="n"/>
      <c r="I683" s="74">
        <f>IF(OR(E683="",F683=""),"",E683*F683)</f>
        <v/>
      </c>
      <c r="J683" s="75">
        <f>IF(I683="","",IF(D683="Buy",I683+N(G683),IF(D683="Sell",I683-N(G683),IF(D683="Dividend",I683-N(G683),I683+N(G683)))))</f>
        <v/>
      </c>
      <c r="K683" s="76">
        <f>IF(B683="","",DATE(YEAR(B683),MONTH(B683),1))</f>
        <v/>
      </c>
      <c r="L683" s="77">
        <f>IF(B683="","",YEAR(B683))</f>
        <v/>
      </c>
    </row>
    <row r="684" ht="19" customHeight="1">
      <c r="A684" s="69">
        <f>IF(B684="","",ROW()-5)</f>
        <v/>
      </c>
      <c r="B684" s="43" t="n"/>
      <c r="C684" s="41" t="n"/>
      <c r="D684" s="41" t="n"/>
      <c r="E684" s="70" t="n"/>
      <c r="F684" s="71" t="n"/>
      <c r="G684" s="72" t="n"/>
      <c r="H684" s="73" t="n"/>
      <c r="I684" s="74">
        <f>IF(OR(E684="",F684=""),"",E684*F684)</f>
        <v/>
      </c>
      <c r="J684" s="75">
        <f>IF(I684="","",IF(D684="Buy",I684+N(G684),IF(D684="Sell",I684-N(G684),IF(D684="Dividend",I684-N(G684),I684+N(G684)))))</f>
        <v/>
      </c>
      <c r="K684" s="76">
        <f>IF(B684="","",DATE(YEAR(B684),MONTH(B684),1))</f>
        <v/>
      </c>
      <c r="L684" s="77">
        <f>IF(B684="","",YEAR(B684))</f>
        <v/>
      </c>
    </row>
    <row r="685" ht="19" customHeight="1">
      <c r="A685" s="69">
        <f>IF(B685="","",ROW()-5)</f>
        <v/>
      </c>
      <c r="B685" s="43" t="n"/>
      <c r="C685" s="41" t="n"/>
      <c r="D685" s="41" t="n"/>
      <c r="E685" s="70" t="n"/>
      <c r="F685" s="71" t="n"/>
      <c r="G685" s="72" t="n"/>
      <c r="H685" s="73" t="n"/>
      <c r="I685" s="74">
        <f>IF(OR(E685="",F685=""),"",E685*F685)</f>
        <v/>
      </c>
      <c r="J685" s="75">
        <f>IF(I685="","",IF(D685="Buy",I685+N(G685),IF(D685="Sell",I685-N(G685),IF(D685="Dividend",I685-N(G685),I685+N(G685)))))</f>
        <v/>
      </c>
      <c r="K685" s="76">
        <f>IF(B685="","",DATE(YEAR(B685),MONTH(B685),1))</f>
        <v/>
      </c>
      <c r="L685" s="77">
        <f>IF(B685="","",YEAR(B685))</f>
        <v/>
      </c>
    </row>
    <row r="686" ht="19" customHeight="1">
      <c r="A686" s="69">
        <f>IF(B686="","",ROW()-5)</f>
        <v/>
      </c>
      <c r="B686" s="43" t="n"/>
      <c r="C686" s="41" t="n"/>
      <c r="D686" s="41" t="n"/>
      <c r="E686" s="70" t="n"/>
      <c r="F686" s="71" t="n"/>
      <c r="G686" s="72" t="n"/>
      <c r="H686" s="73" t="n"/>
      <c r="I686" s="74">
        <f>IF(OR(E686="",F686=""),"",E686*F686)</f>
        <v/>
      </c>
      <c r="J686" s="75">
        <f>IF(I686="","",IF(D686="Buy",I686+N(G686),IF(D686="Sell",I686-N(G686),IF(D686="Dividend",I686-N(G686),I686+N(G686)))))</f>
        <v/>
      </c>
      <c r="K686" s="76">
        <f>IF(B686="","",DATE(YEAR(B686),MONTH(B686),1))</f>
        <v/>
      </c>
      <c r="L686" s="77">
        <f>IF(B686="","",YEAR(B686))</f>
        <v/>
      </c>
    </row>
    <row r="687" ht="19" customHeight="1">
      <c r="A687" s="69">
        <f>IF(B687="","",ROW()-5)</f>
        <v/>
      </c>
      <c r="B687" s="43" t="n"/>
      <c r="C687" s="41" t="n"/>
      <c r="D687" s="41" t="n"/>
      <c r="E687" s="70" t="n"/>
      <c r="F687" s="71" t="n"/>
      <c r="G687" s="72" t="n"/>
      <c r="H687" s="73" t="n"/>
      <c r="I687" s="74">
        <f>IF(OR(E687="",F687=""),"",E687*F687)</f>
        <v/>
      </c>
      <c r="J687" s="75">
        <f>IF(I687="","",IF(D687="Buy",I687+N(G687),IF(D687="Sell",I687-N(G687),IF(D687="Dividend",I687-N(G687),I687+N(G687)))))</f>
        <v/>
      </c>
      <c r="K687" s="76">
        <f>IF(B687="","",DATE(YEAR(B687),MONTH(B687),1))</f>
        <v/>
      </c>
      <c r="L687" s="77">
        <f>IF(B687="","",YEAR(B687))</f>
        <v/>
      </c>
    </row>
    <row r="688" ht="19" customHeight="1">
      <c r="A688" s="69">
        <f>IF(B688="","",ROW()-5)</f>
        <v/>
      </c>
      <c r="B688" s="43" t="n"/>
      <c r="C688" s="41" t="n"/>
      <c r="D688" s="41" t="n"/>
      <c r="E688" s="70" t="n"/>
      <c r="F688" s="71" t="n"/>
      <c r="G688" s="72" t="n"/>
      <c r="H688" s="73" t="n"/>
      <c r="I688" s="74">
        <f>IF(OR(E688="",F688=""),"",E688*F688)</f>
        <v/>
      </c>
      <c r="J688" s="75">
        <f>IF(I688="","",IF(D688="Buy",I688+N(G688),IF(D688="Sell",I688-N(G688),IF(D688="Dividend",I688-N(G688),I688+N(G688)))))</f>
        <v/>
      </c>
      <c r="K688" s="76">
        <f>IF(B688="","",DATE(YEAR(B688),MONTH(B688),1))</f>
        <v/>
      </c>
      <c r="L688" s="77">
        <f>IF(B688="","",YEAR(B688))</f>
        <v/>
      </c>
    </row>
    <row r="689" ht="19" customHeight="1">
      <c r="A689" s="69">
        <f>IF(B689="","",ROW()-5)</f>
        <v/>
      </c>
      <c r="B689" s="43" t="n"/>
      <c r="C689" s="41" t="n"/>
      <c r="D689" s="41" t="n"/>
      <c r="E689" s="70" t="n"/>
      <c r="F689" s="71" t="n"/>
      <c r="G689" s="72" t="n"/>
      <c r="H689" s="73" t="n"/>
      <c r="I689" s="74">
        <f>IF(OR(E689="",F689=""),"",E689*F689)</f>
        <v/>
      </c>
      <c r="J689" s="75">
        <f>IF(I689="","",IF(D689="Buy",I689+N(G689),IF(D689="Sell",I689-N(G689),IF(D689="Dividend",I689-N(G689),I689+N(G689)))))</f>
        <v/>
      </c>
      <c r="K689" s="76">
        <f>IF(B689="","",DATE(YEAR(B689),MONTH(B689),1))</f>
        <v/>
      </c>
      <c r="L689" s="77">
        <f>IF(B689="","",YEAR(B689))</f>
        <v/>
      </c>
    </row>
    <row r="690" ht="19" customHeight="1">
      <c r="A690" s="69">
        <f>IF(B690="","",ROW()-5)</f>
        <v/>
      </c>
      <c r="B690" s="43" t="n"/>
      <c r="C690" s="41" t="n"/>
      <c r="D690" s="41" t="n"/>
      <c r="E690" s="70" t="n"/>
      <c r="F690" s="71" t="n"/>
      <c r="G690" s="72" t="n"/>
      <c r="H690" s="73" t="n"/>
      <c r="I690" s="74">
        <f>IF(OR(E690="",F690=""),"",E690*F690)</f>
        <v/>
      </c>
      <c r="J690" s="75">
        <f>IF(I690="","",IF(D690="Buy",I690+N(G690),IF(D690="Sell",I690-N(G690),IF(D690="Dividend",I690-N(G690),I690+N(G690)))))</f>
        <v/>
      </c>
      <c r="K690" s="76">
        <f>IF(B690="","",DATE(YEAR(B690),MONTH(B690),1))</f>
        <v/>
      </c>
      <c r="L690" s="77">
        <f>IF(B690="","",YEAR(B690))</f>
        <v/>
      </c>
    </row>
    <row r="691" ht="19" customHeight="1">
      <c r="A691" s="69">
        <f>IF(B691="","",ROW()-5)</f>
        <v/>
      </c>
      <c r="B691" s="43" t="n"/>
      <c r="C691" s="41" t="n"/>
      <c r="D691" s="41" t="n"/>
      <c r="E691" s="70" t="n"/>
      <c r="F691" s="71" t="n"/>
      <c r="G691" s="72" t="n"/>
      <c r="H691" s="73" t="n"/>
      <c r="I691" s="74">
        <f>IF(OR(E691="",F691=""),"",E691*F691)</f>
        <v/>
      </c>
      <c r="J691" s="75">
        <f>IF(I691="","",IF(D691="Buy",I691+N(G691),IF(D691="Sell",I691-N(G691),IF(D691="Dividend",I691-N(G691),I691+N(G691)))))</f>
        <v/>
      </c>
      <c r="K691" s="76">
        <f>IF(B691="","",DATE(YEAR(B691),MONTH(B691),1))</f>
        <v/>
      </c>
      <c r="L691" s="77">
        <f>IF(B691="","",YEAR(B691))</f>
        <v/>
      </c>
    </row>
    <row r="692" ht="19" customHeight="1">
      <c r="A692" s="69">
        <f>IF(B692="","",ROW()-5)</f>
        <v/>
      </c>
      <c r="B692" s="43" t="n"/>
      <c r="C692" s="41" t="n"/>
      <c r="D692" s="41" t="n"/>
      <c r="E692" s="70" t="n"/>
      <c r="F692" s="71" t="n"/>
      <c r="G692" s="72" t="n"/>
      <c r="H692" s="73" t="n"/>
      <c r="I692" s="74">
        <f>IF(OR(E692="",F692=""),"",E692*F692)</f>
        <v/>
      </c>
      <c r="J692" s="75">
        <f>IF(I692="","",IF(D692="Buy",I692+N(G692),IF(D692="Sell",I692-N(G692),IF(D692="Dividend",I692-N(G692),I692+N(G692)))))</f>
        <v/>
      </c>
      <c r="K692" s="76">
        <f>IF(B692="","",DATE(YEAR(B692),MONTH(B692),1))</f>
        <v/>
      </c>
      <c r="L692" s="77">
        <f>IF(B692="","",YEAR(B692))</f>
        <v/>
      </c>
    </row>
    <row r="693" ht="19" customHeight="1">
      <c r="A693" s="69">
        <f>IF(B693="","",ROW()-5)</f>
        <v/>
      </c>
      <c r="B693" s="43" t="n"/>
      <c r="C693" s="41" t="n"/>
      <c r="D693" s="41" t="n"/>
      <c r="E693" s="70" t="n"/>
      <c r="F693" s="71" t="n"/>
      <c r="G693" s="72" t="n"/>
      <c r="H693" s="73" t="n"/>
      <c r="I693" s="74">
        <f>IF(OR(E693="",F693=""),"",E693*F693)</f>
        <v/>
      </c>
      <c r="J693" s="75">
        <f>IF(I693="","",IF(D693="Buy",I693+N(G693),IF(D693="Sell",I693-N(G693),IF(D693="Dividend",I693-N(G693),I693+N(G693)))))</f>
        <v/>
      </c>
      <c r="K693" s="76">
        <f>IF(B693="","",DATE(YEAR(B693),MONTH(B693),1))</f>
        <v/>
      </c>
      <c r="L693" s="77">
        <f>IF(B693="","",YEAR(B693))</f>
        <v/>
      </c>
    </row>
    <row r="694" ht="19" customHeight="1">
      <c r="A694" s="69">
        <f>IF(B694="","",ROW()-5)</f>
        <v/>
      </c>
      <c r="B694" s="43" t="n"/>
      <c r="C694" s="41" t="n"/>
      <c r="D694" s="41" t="n"/>
      <c r="E694" s="70" t="n"/>
      <c r="F694" s="71" t="n"/>
      <c r="G694" s="72" t="n"/>
      <c r="H694" s="73" t="n"/>
      <c r="I694" s="74">
        <f>IF(OR(E694="",F694=""),"",E694*F694)</f>
        <v/>
      </c>
      <c r="J694" s="75">
        <f>IF(I694="","",IF(D694="Buy",I694+N(G694),IF(D694="Sell",I694-N(G694),IF(D694="Dividend",I694-N(G694),I694+N(G694)))))</f>
        <v/>
      </c>
      <c r="K694" s="76">
        <f>IF(B694="","",DATE(YEAR(B694),MONTH(B694),1))</f>
        <v/>
      </c>
      <c r="L694" s="77">
        <f>IF(B694="","",YEAR(B694))</f>
        <v/>
      </c>
    </row>
    <row r="695" ht="19" customHeight="1">
      <c r="A695" s="69">
        <f>IF(B695="","",ROW()-5)</f>
        <v/>
      </c>
      <c r="B695" s="43" t="n"/>
      <c r="C695" s="41" t="n"/>
      <c r="D695" s="41" t="n"/>
      <c r="E695" s="70" t="n"/>
      <c r="F695" s="71" t="n"/>
      <c r="G695" s="72" t="n"/>
      <c r="H695" s="73" t="n"/>
      <c r="I695" s="74">
        <f>IF(OR(E695="",F695=""),"",E695*F695)</f>
        <v/>
      </c>
      <c r="J695" s="75">
        <f>IF(I695="","",IF(D695="Buy",I695+N(G695),IF(D695="Sell",I695-N(G695),IF(D695="Dividend",I695-N(G695),I695+N(G695)))))</f>
        <v/>
      </c>
      <c r="K695" s="76">
        <f>IF(B695="","",DATE(YEAR(B695),MONTH(B695),1))</f>
        <v/>
      </c>
      <c r="L695" s="77">
        <f>IF(B695="","",YEAR(B695))</f>
        <v/>
      </c>
    </row>
    <row r="696" ht="19" customHeight="1">
      <c r="A696" s="69">
        <f>IF(B696="","",ROW()-5)</f>
        <v/>
      </c>
      <c r="B696" s="43" t="n"/>
      <c r="C696" s="41" t="n"/>
      <c r="D696" s="41" t="n"/>
      <c r="E696" s="70" t="n"/>
      <c r="F696" s="71" t="n"/>
      <c r="G696" s="72" t="n"/>
      <c r="H696" s="73" t="n"/>
      <c r="I696" s="74">
        <f>IF(OR(E696="",F696=""),"",E696*F696)</f>
        <v/>
      </c>
      <c r="J696" s="75">
        <f>IF(I696="","",IF(D696="Buy",I696+N(G696),IF(D696="Sell",I696-N(G696),IF(D696="Dividend",I696-N(G696),I696+N(G696)))))</f>
        <v/>
      </c>
      <c r="K696" s="76">
        <f>IF(B696="","",DATE(YEAR(B696),MONTH(B696),1))</f>
        <v/>
      </c>
      <c r="L696" s="77">
        <f>IF(B696="","",YEAR(B696))</f>
        <v/>
      </c>
    </row>
    <row r="697" ht="19" customHeight="1">
      <c r="A697" s="69">
        <f>IF(B697="","",ROW()-5)</f>
        <v/>
      </c>
      <c r="B697" s="43" t="n"/>
      <c r="C697" s="41" t="n"/>
      <c r="D697" s="41" t="n"/>
      <c r="E697" s="70" t="n"/>
      <c r="F697" s="71" t="n"/>
      <c r="G697" s="72" t="n"/>
      <c r="H697" s="73" t="n"/>
      <c r="I697" s="74">
        <f>IF(OR(E697="",F697=""),"",E697*F697)</f>
        <v/>
      </c>
      <c r="J697" s="75">
        <f>IF(I697="","",IF(D697="Buy",I697+N(G697),IF(D697="Sell",I697-N(G697),IF(D697="Dividend",I697-N(G697),I697+N(G697)))))</f>
        <v/>
      </c>
      <c r="K697" s="76">
        <f>IF(B697="","",DATE(YEAR(B697),MONTH(B697),1))</f>
        <v/>
      </c>
      <c r="L697" s="77">
        <f>IF(B697="","",YEAR(B697))</f>
        <v/>
      </c>
    </row>
    <row r="698" ht="19" customHeight="1">
      <c r="A698" s="69">
        <f>IF(B698="","",ROW()-5)</f>
        <v/>
      </c>
      <c r="B698" s="43" t="n"/>
      <c r="C698" s="41" t="n"/>
      <c r="D698" s="41" t="n"/>
      <c r="E698" s="70" t="n"/>
      <c r="F698" s="71" t="n"/>
      <c r="G698" s="72" t="n"/>
      <c r="H698" s="73" t="n"/>
      <c r="I698" s="74">
        <f>IF(OR(E698="",F698=""),"",E698*F698)</f>
        <v/>
      </c>
      <c r="J698" s="75">
        <f>IF(I698="","",IF(D698="Buy",I698+N(G698),IF(D698="Sell",I698-N(G698),IF(D698="Dividend",I698-N(G698),I698+N(G698)))))</f>
        <v/>
      </c>
      <c r="K698" s="76">
        <f>IF(B698="","",DATE(YEAR(B698),MONTH(B698),1))</f>
        <v/>
      </c>
      <c r="L698" s="77">
        <f>IF(B698="","",YEAR(B698))</f>
        <v/>
      </c>
    </row>
    <row r="699" ht="19" customHeight="1">
      <c r="A699" s="69">
        <f>IF(B699="","",ROW()-5)</f>
        <v/>
      </c>
      <c r="B699" s="43" t="n"/>
      <c r="C699" s="41" t="n"/>
      <c r="D699" s="41" t="n"/>
      <c r="E699" s="70" t="n"/>
      <c r="F699" s="71" t="n"/>
      <c r="G699" s="72" t="n"/>
      <c r="H699" s="73" t="n"/>
      <c r="I699" s="74">
        <f>IF(OR(E699="",F699=""),"",E699*F699)</f>
        <v/>
      </c>
      <c r="J699" s="75">
        <f>IF(I699="","",IF(D699="Buy",I699+N(G699),IF(D699="Sell",I699-N(G699),IF(D699="Dividend",I699-N(G699),I699+N(G699)))))</f>
        <v/>
      </c>
      <c r="K699" s="76">
        <f>IF(B699="","",DATE(YEAR(B699),MONTH(B699),1))</f>
        <v/>
      </c>
      <c r="L699" s="77">
        <f>IF(B699="","",YEAR(B699))</f>
        <v/>
      </c>
    </row>
    <row r="700" ht="19" customHeight="1">
      <c r="A700" s="69">
        <f>IF(B700="","",ROW()-5)</f>
        <v/>
      </c>
      <c r="B700" s="43" t="n"/>
      <c r="C700" s="41" t="n"/>
      <c r="D700" s="41" t="n"/>
      <c r="E700" s="70" t="n"/>
      <c r="F700" s="71" t="n"/>
      <c r="G700" s="72" t="n"/>
      <c r="H700" s="73" t="n"/>
      <c r="I700" s="74">
        <f>IF(OR(E700="",F700=""),"",E700*F700)</f>
        <v/>
      </c>
      <c r="J700" s="75">
        <f>IF(I700="","",IF(D700="Buy",I700+N(G700),IF(D700="Sell",I700-N(G700),IF(D700="Dividend",I700-N(G700),I700+N(G700)))))</f>
        <v/>
      </c>
      <c r="K700" s="76">
        <f>IF(B700="","",DATE(YEAR(B700),MONTH(B700),1))</f>
        <v/>
      </c>
      <c r="L700" s="77">
        <f>IF(B700="","",YEAR(B700))</f>
        <v/>
      </c>
    </row>
    <row r="701" ht="19" customHeight="1">
      <c r="A701" s="69">
        <f>IF(B701="","",ROW()-5)</f>
        <v/>
      </c>
      <c r="B701" s="43" t="n"/>
      <c r="C701" s="41" t="n"/>
      <c r="D701" s="41" t="n"/>
      <c r="E701" s="70" t="n"/>
      <c r="F701" s="71" t="n"/>
      <c r="G701" s="72" t="n"/>
      <c r="H701" s="73" t="n"/>
      <c r="I701" s="74">
        <f>IF(OR(E701="",F701=""),"",E701*F701)</f>
        <v/>
      </c>
      <c r="J701" s="75">
        <f>IF(I701="","",IF(D701="Buy",I701+N(G701),IF(D701="Sell",I701-N(G701),IF(D701="Dividend",I701-N(G701),I701+N(G701)))))</f>
        <v/>
      </c>
      <c r="K701" s="76">
        <f>IF(B701="","",DATE(YEAR(B701),MONTH(B701),1))</f>
        <v/>
      </c>
      <c r="L701" s="77">
        <f>IF(B701="","",YEAR(B701))</f>
        <v/>
      </c>
    </row>
    <row r="702" ht="19" customHeight="1">
      <c r="A702" s="69">
        <f>IF(B702="","",ROW()-5)</f>
        <v/>
      </c>
      <c r="B702" s="43" t="n"/>
      <c r="C702" s="41" t="n"/>
      <c r="D702" s="41" t="n"/>
      <c r="E702" s="70" t="n"/>
      <c r="F702" s="71" t="n"/>
      <c r="G702" s="72" t="n"/>
      <c r="H702" s="73" t="n"/>
      <c r="I702" s="74">
        <f>IF(OR(E702="",F702=""),"",E702*F702)</f>
        <v/>
      </c>
      <c r="J702" s="75">
        <f>IF(I702="","",IF(D702="Buy",I702+N(G702),IF(D702="Sell",I702-N(G702),IF(D702="Dividend",I702-N(G702),I702+N(G702)))))</f>
        <v/>
      </c>
      <c r="K702" s="76">
        <f>IF(B702="","",DATE(YEAR(B702),MONTH(B702),1))</f>
        <v/>
      </c>
      <c r="L702" s="77">
        <f>IF(B702="","",YEAR(B702))</f>
        <v/>
      </c>
    </row>
    <row r="703" ht="19" customHeight="1">
      <c r="A703" s="69">
        <f>IF(B703="","",ROW()-5)</f>
        <v/>
      </c>
      <c r="B703" s="43" t="n"/>
      <c r="C703" s="41" t="n"/>
      <c r="D703" s="41" t="n"/>
      <c r="E703" s="70" t="n"/>
      <c r="F703" s="71" t="n"/>
      <c r="G703" s="72" t="n"/>
      <c r="H703" s="73" t="n"/>
      <c r="I703" s="74">
        <f>IF(OR(E703="",F703=""),"",E703*F703)</f>
        <v/>
      </c>
      <c r="J703" s="75">
        <f>IF(I703="","",IF(D703="Buy",I703+N(G703),IF(D703="Sell",I703-N(G703),IF(D703="Dividend",I703-N(G703),I703+N(G703)))))</f>
        <v/>
      </c>
      <c r="K703" s="76">
        <f>IF(B703="","",DATE(YEAR(B703),MONTH(B703),1))</f>
        <v/>
      </c>
      <c r="L703" s="77">
        <f>IF(B703="","",YEAR(B703))</f>
        <v/>
      </c>
    </row>
    <row r="704" ht="19" customHeight="1">
      <c r="A704" s="69">
        <f>IF(B704="","",ROW()-5)</f>
        <v/>
      </c>
      <c r="B704" s="43" t="n"/>
      <c r="C704" s="41" t="n"/>
      <c r="D704" s="41" t="n"/>
      <c r="E704" s="70" t="n"/>
      <c r="F704" s="71" t="n"/>
      <c r="G704" s="72" t="n"/>
      <c r="H704" s="73" t="n"/>
      <c r="I704" s="74">
        <f>IF(OR(E704="",F704=""),"",E704*F704)</f>
        <v/>
      </c>
      <c r="J704" s="75">
        <f>IF(I704="","",IF(D704="Buy",I704+N(G704),IF(D704="Sell",I704-N(G704),IF(D704="Dividend",I704-N(G704),I704+N(G704)))))</f>
        <v/>
      </c>
      <c r="K704" s="76">
        <f>IF(B704="","",DATE(YEAR(B704),MONTH(B704),1))</f>
        <v/>
      </c>
      <c r="L704" s="77">
        <f>IF(B704="","",YEAR(B704))</f>
        <v/>
      </c>
    </row>
    <row r="705" ht="19" customHeight="1">
      <c r="A705" s="69">
        <f>IF(B705="","",ROW()-5)</f>
        <v/>
      </c>
      <c r="B705" s="43" t="n"/>
      <c r="C705" s="41" t="n"/>
      <c r="D705" s="41" t="n"/>
      <c r="E705" s="70" t="n"/>
      <c r="F705" s="71" t="n"/>
      <c r="G705" s="72" t="n"/>
      <c r="H705" s="73" t="n"/>
      <c r="I705" s="74">
        <f>IF(OR(E705="",F705=""),"",E705*F705)</f>
        <v/>
      </c>
      <c r="J705" s="75">
        <f>IF(I705="","",IF(D705="Buy",I705+N(G705),IF(D705="Sell",I705-N(G705),IF(D705="Dividend",I705-N(G705),I705+N(G705)))))</f>
        <v/>
      </c>
      <c r="K705" s="76">
        <f>IF(B705="","",DATE(YEAR(B705),MONTH(B705),1))</f>
        <v/>
      </c>
      <c r="L705" s="77">
        <f>IF(B705="","",YEAR(B705))</f>
        <v/>
      </c>
    </row>
    <row r="706" ht="19" customHeight="1">
      <c r="A706" s="69">
        <f>IF(B706="","",ROW()-5)</f>
        <v/>
      </c>
      <c r="B706" s="43" t="n"/>
      <c r="C706" s="41" t="n"/>
      <c r="D706" s="41" t="n"/>
      <c r="E706" s="70" t="n"/>
      <c r="F706" s="71" t="n"/>
      <c r="G706" s="72" t="n"/>
      <c r="H706" s="73" t="n"/>
      <c r="I706" s="74">
        <f>IF(OR(E706="",F706=""),"",E706*F706)</f>
        <v/>
      </c>
      <c r="J706" s="75">
        <f>IF(I706="","",IF(D706="Buy",I706+N(G706),IF(D706="Sell",I706-N(G706),IF(D706="Dividend",I706-N(G706),I706+N(G706)))))</f>
        <v/>
      </c>
      <c r="K706" s="76">
        <f>IF(B706="","",DATE(YEAR(B706),MONTH(B706),1))</f>
        <v/>
      </c>
      <c r="L706" s="77">
        <f>IF(B706="","",YEAR(B706))</f>
        <v/>
      </c>
    </row>
    <row r="707" ht="19" customHeight="1">
      <c r="A707" s="69">
        <f>IF(B707="","",ROW()-5)</f>
        <v/>
      </c>
      <c r="B707" s="43" t="n"/>
      <c r="C707" s="41" t="n"/>
      <c r="D707" s="41" t="n"/>
      <c r="E707" s="70" t="n"/>
      <c r="F707" s="71" t="n"/>
      <c r="G707" s="72" t="n"/>
      <c r="H707" s="73" t="n"/>
      <c r="I707" s="74">
        <f>IF(OR(E707="",F707=""),"",E707*F707)</f>
        <v/>
      </c>
      <c r="J707" s="75">
        <f>IF(I707="","",IF(D707="Buy",I707+N(G707),IF(D707="Sell",I707-N(G707),IF(D707="Dividend",I707-N(G707),I707+N(G707)))))</f>
        <v/>
      </c>
      <c r="K707" s="76">
        <f>IF(B707="","",DATE(YEAR(B707),MONTH(B707),1))</f>
        <v/>
      </c>
      <c r="L707" s="77">
        <f>IF(B707="","",YEAR(B707))</f>
        <v/>
      </c>
    </row>
    <row r="708" ht="19" customHeight="1">
      <c r="A708" s="69">
        <f>IF(B708="","",ROW()-5)</f>
        <v/>
      </c>
      <c r="B708" s="43" t="n"/>
      <c r="C708" s="41" t="n"/>
      <c r="D708" s="41" t="n"/>
      <c r="E708" s="70" t="n"/>
      <c r="F708" s="71" t="n"/>
      <c r="G708" s="72" t="n"/>
      <c r="H708" s="73" t="n"/>
      <c r="I708" s="74">
        <f>IF(OR(E708="",F708=""),"",E708*F708)</f>
        <v/>
      </c>
      <c r="J708" s="75">
        <f>IF(I708="","",IF(D708="Buy",I708+N(G708),IF(D708="Sell",I708-N(G708),IF(D708="Dividend",I708-N(G708),I708+N(G708)))))</f>
        <v/>
      </c>
      <c r="K708" s="76">
        <f>IF(B708="","",DATE(YEAR(B708),MONTH(B708),1))</f>
        <v/>
      </c>
      <c r="L708" s="77">
        <f>IF(B708="","",YEAR(B708))</f>
        <v/>
      </c>
    </row>
    <row r="709" ht="19" customHeight="1">
      <c r="A709" s="69">
        <f>IF(B709="","",ROW()-5)</f>
        <v/>
      </c>
      <c r="B709" s="43" t="n"/>
      <c r="C709" s="41" t="n"/>
      <c r="D709" s="41" t="n"/>
      <c r="E709" s="70" t="n"/>
      <c r="F709" s="71" t="n"/>
      <c r="G709" s="72" t="n"/>
      <c r="H709" s="73" t="n"/>
      <c r="I709" s="74">
        <f>IF(OR(E709="",F709=""),"",E709*F709)</f>
        <v/>
      </c>
      <c r="J709" s="75">
        <f>IF(I709="","",IF(D709="Buy",I709+N(G709),IF(D709="Sell",I709-N(G709),IF(D709="Dividend",I709-N(G709),I709+N(G709)))))</f>
        <v/>
      </c>
      <c r="K709" s="76">
        <f>IF(B709="","",DATE(YEAR(B709),MONTH(B709),1))</f>
        <v/>
      </c>
      <c r="L709" s="77">
        <f>IF(B709="","",YEAR(B709))</f>
        <v/>
      </c>
    </row>
    <row r="710" ht="19" customHeight="1">
      <c r="A710" s="69">
        <f>IF(B710="","",ROW()-5)</f>
        <v/>
      </c>
      <c r="B710" s="43" t="n"/>
      <c r="C710" s="41" t="n"/>
      <c r="D710" s="41" t="n"/>
      <c r="E710" s="70" t="n"/>
      <c r="F710" s="71" t="n"/>
      <c r="G710" s="72" t="n"/>
      <c r="H710" s="73" t="n"/>
      <c r="I710" s="74">
        <f>IF(OR(E710="",F710=""),"",E710*F710)</f>
        <v/>
      </c>
      <c r="J710" s="75">
        <f>IF(I710="","",IF(D710="Buy",I710+N(G710),IF(D710="Sell",I710-N(G710),IF(D710="Dividend",I710-N(G710),I710+N(G710)))))</f>
        <v/>
      </c>
      <c r="K710" s="76">
        <f>IF(B710="","",DATE(YEAR(B710),MONTH(B710),1))</f>
        <v/>
      </c>
      <c r="L710" s="77">
        <f>IF(B710="","",YEAR(B710))</f>
        <v/>
      </c>
    </row>
    <row r="711" ht="19" customHeight="1">
      <c r="A711" s="69">
        <f>IF(B711="","",ROW()-5)</f>
        <v/>
      </c>
      <c r="B711" s="43" t="n"/>
      <c r="C711" s="41" t="n"/>
      <c r="D711" s="41" t="n"/>
      <c r="E711" s="70" t="n"/>
      <c r="F711" s="71" t="n"/>
      <c r="G711" s="72" t="n"/>
      <c r="H711" s="73" t="n"/>
      <c r="I711" s="74">
        <f>IF(OR(E711="",F711=""),"",E711*F711)</f>
        <v/>
      </c>
      <c r="J711" s="75">
        <f>IF(I711="","",IF(D711="Buy",I711+N(G711),IF(D711="Sell",I711-N(G711),IF(D711="Dividend",I711-N(G711),I711+N(G711)))))</f>
        <v/>
      </c>
      <c r="K711" s="76">
        <f>IF(B711="","",DATE(YEAR(B711),MONTH(B711),1))</f>
        <v/>
      </c>
      <c r="L711" s="77">
        <f>IF(B711="","",YEAR(B711))</f>
        <v/>
      </c>
    </row>
    <row r="712" ht="19" customHeight="1">
      <c r="A712" s="69">
        <f>IF(B712="","",ROW()-5)</f>
        <v/>
      </c>
      <c r="B712" s="43" t="n"/>
      <c r="C712" s="41" t="n"/>
      <c r="D712" s="41" t="n"/>
      <c r="E712" s="70" t="n"/>
      <c r="F712" s="71" t="n"/>
      <c r="G712" s="72" t="n"/>
      <c r="H712" s="73" t="n"/>
      <c r="I712" s="74">
        <f>IF(OR(E712="",F712=""),"",E712*F712)</f>
        <v/>
      </c>
      <c r="J712" s="75">
        <f>IF(I712="","",IF(D712="Buy",I712+N(G712),IF(D712="Sell",I712-N(G712),IF(D712="Dividend",I712-N(G712),I712+N(G712)))))</f>
        <v/>
      </c>
      <c r="K712" s="76">
        <f>IF(B712="","",DATE(YEAR(B712),MONTH(B712),1))</f>
        <v/>
      </c>
      <c r="L712" s="77">
        <f>IF(B712="","",YEAR(B712))</f>
        <v/>
      </c>
    </row>
    <row r="713" ht="19" customHeight="1">
      <c r="A713" s="69">
        <f>IF(B713="","",ROW()-5)</f>
        <v/>
      </c>
      <c r="B713" s="43" t="n"/>
      <c r="C713" s="41" t="n"/>
      <c r="D713" s="41" t="n"/>
      <c r="E713" s="70" t="n"/>
      <c r="F713" s="71" t="n"/>
      <c r="G713" s="72" t="n"/>
      <c r="H713" s="73" t="n"/>
      <c r="I713" s="74">
        <f>IF(OR(E713="",F713=""),"",E713*F713)</f>
        <v/>
      </c>
      <c r="J713" s="75">
        <f>IF(I713="","",IF(D713="Buy",I713+N(G713),IF(D713="Sell",I713-N(G713),IF(D713="Dividend",I713-N(G713),I713+N(G713)))))</f>
        <v/>
      </c>
      <c r="K713" s="76">
        <f>IF(B713="","",DATE(YEAR(B713),MONTH(B713),1))</f>
        <v/>
      </c>
      <c r="L713" s="77">
        <f>IF(B713="","",YEAR(B713))</f>
        <v/>
      </c>
    </row>
    <row r="714" ht="19" customHeight="1">
      <c r="A714" s="69">
        <f>IF(B714="","",ROW()-5)</f>
        <v/>
      </c>
      <c r="B714" s="43" t="n"/>
      <c r="C714" s="41" t="n"/>
      <c r="D714" s="41" t="n"/>
      <c r="E714" s="70" t="n"/>
      <c r="F714" s="71" t="n"/>
      <c r="G714" s="72" t="n"/>
      <c r="H714" s="73" t="n"/>
      <c r="I714" s="74">
        <f>IF(OR(E714="",F714=""),"",E714*F714)</f>
        <v/>
      </c>
      <c r="J714" s="75">
        <f>IF(I714="","",IF(D714="Buy",I714+N(G714),IF(D714="Sell",I714-N(G714),IF(D714="Dividend",I714-N(G714),I714+N(G714)))))</f>
        <v/>
      </c>
      <c r="K714" s="76">
        <f>IF(B714="","",DATE(YEAR(B714),MONTH(B714),1))</f>
        <v/>
      </c>
      <c r="L714" s="77">
        <f>IF(B714="","",YEAR(B714))</f>
        <v/>
      </c>
    </row>
    <row r="715" ht="19" customHeight="1">
      <c r="A715" s="69">
        <f>IF(B715="","",ROW()-5)</f>
        <v/>
      </c>
      <c r="B715" s="43" t="n"/>
      <c r="C715" s="41" t="n"/>
      <c r="D715" s="41" t="n"/>
      <c r="E715" s="70" t="n"/>
      <c r="F715" s="71" t="n"/>
      <c r="G715" s="72" t="n"/>
      <c r="H715" s="73" t="n"/>
      <c r="I715" s="74">
        <f>IF(OR(E715="",F715=""),"",E715*F715)</f>
        <v/>
      </c>
      <c r="J715" s="75">
        <f>IF(I715="","",IF(D715="Buy",I715+N(G715),IF(D715="Sell",I715-N(G715),IF(D715="Dividend",I715-N(G715),I715+N(G715)))))</f>
        <v/>
      </c>
      <c r="K715" s="76">
        <f>IF(B715="","",DATE(YEAR(B715),MONTH(B715),1))</f>
        <v/>
      </c>
      <c r="L715" s="77">
        <f>IF(B715="","",YEAR(B715))</f>
        <v/>
      </c>
    </row>
    <row r="716" ht="19" customHeight="1">
      <c r="A716" s="69">
        <f>IF(B716="","",ROW()-5)</f>
        <v/>
      </c>
      <c r="B716" s="43" t="n"/>
      <c r="C716" s="41" t="n"/>
      <c r="D716" s="41" t="n"/>
      <c r="E716" s="70" t="n"/>
      <c r="F716" s="71" t="n"/>
      <c r="G716" s="72" t="n"/>
      <c r="H716" s="73" t="n"/>
      <c r="I716" s="74">
        <f>IF(OR(E716="",F716=""),"",E716*F716)</f>
        <v/>
      </c>
      <c r="J716" s="75">
        <f>IF(I716="","",IF(D716="Buy",I716+N(G716),IF(D716="Sell",I716-N(G716),IF(D716="Dividend",I716-N(G716),I716+N(G716)))))</f>
        <v/>
      </c>
      <c r="K716" s="76">
        <f>IF(B716="","",DATE(YEAR(B716),MONTH(B716),1))</f>
        <v/>
      </c>
      <c r="L716" s="77">
        <f>IF(B716="","",YEAR(B716))</f>
        <v/>
      </c>
    </row>
    <row r="717" ht="19" customHeight="1">
      <c r="A717" s="69">
        <f>IF(B717="","",ROW()-5)</f>
        <v/>
      </c>
      <c r="B717" s="43" t="n"/>
      <c r="C717" s="41" t="n"/>
      <c r="D717" s="41" t="n"/>
      <c r="E717" s="70" t="n"/>
      <c r="F717" s="71" t="n"/>
      <c r="G717" s="72" t="n"/>
      <c r="H717" s="73" t="n"/>
      <c r="I717" s="74">
        <f>IF(OR(E717="",F717=""),"",E717*F717)</f>
        <v/>
      </c>
      <c r="J717" s="75">
        <f>IF(I717="","",IF(D717="Buy",I717+N(G717),IF(D717="Sell",I717-N(G717),IF(D717="Dividend",I717-N(G717),I717+N(G717)))))</f>
        <v/>
      </c>
      <c r="K717" s="76">
        <f>IF(B717="","",DATE(YEAR(B717),MONTH(B717),1))</f>
        <v/>
      </c>
      <c r="L717" s="77">
        <f>IF(B717="","",YEAR(B717))</f>
        <v/>
      </c>
    </row>
    <row r="718" ht="19" customHeight="1">
      <c r="A718" s="69">
        <f>IF(B718="","",ROW()-5)</f>
        <v/>
      </c>
      <c r="B718" s="43" t="n"/>
      <c r="C718" s="41" t="n"/>
      <c r="D718" s="41" t="n"/>
      <c r="E718" s="70" t="n"/>
      <c r="F718" s="71" t="n"/>
      <c r="G718" s="72" t="n"/>
      <c r="H718" s="73" t="n"/>
      <c r="I718" s="74">
        <f>IF(OR(E718="",F718=""),"",E718*F718)</f>
        <v/>
      </c>
      <c r="J718" s="75">
        <f>IF(I718="","",IF(D718="Buy",I718+N(G718),IF(D718="Sell",I718-N(G718),IF(D718="Dividend",I718-N(G718),I718+N(G718)))))</f>
        <v/>
      </c>
      <c r="K718" s="76">
        <f>IF(B718="","",DATE(YEAR(B718),MONTH(B718),1))</f>
        <v/>
      </c>
      <c r="L718" s="77">
        <f>IF(B718="","",YEAR(B718))</f>
        <v/>
      </c>
    </row>
    <row r="719" ht="19" customHeight="1">
      <c r="A719" s="69">
        <f>IF(B719="","",ROW()-5)</f>
        <v/>
      </c>
      <c r="B719" s="43" t="n"/>
      <c r="C719" s="41" t="n"/>
      <c r="D719" s="41" t="n"/>
      <c r="E719" s="70" t="n"/>
      <c r="F719" s="71" t="n"/>
      <c r="G719" s="72" t="n"/>
      <c r="H719" s="73" t="n"/>
      <c r="I719" s="74">
        <f>IF(OR(E719="",F719=""),"",E719*F719)</f>
        <v/>
      </c>
      <c r="J719" s="75">
        <f>IF(I719="","",IF(D719="Buy",I719+N(G719),IF(D719="Sell",I719-N(G719),IF(D719="Dividend",I719-N(G719),I719+N(G719)))))</f>
        <v/>
      </c>
      <c r="K719" s="76">
        <f>IF(B719="","",DATE(YEAR(B719),MONTH(B719),1))</f>
        <v/>
      </c>
      <c r="L719" s="77">
        <f>IF(B719="","",YEAR(B719))</f>
        <v/>
      </c>
    </row>
    <row r="720" ht="19" customHeight="1">
      <c r="A720" s="69">
        <f>IF(B720="","",ROW()-5)</f>
        <v/>
      </c>
      <c r="B720" s="43" t="n"/>
      <c r="C720" s="41" t="n"/>
      <c r="D720" s="41" t="n"/>
      <c r="E720" s="70" t="n"/>
      <c r="F720" s="71" t="n"/>
      <c r="G720" s="72" t="n"/>
      <c r="H720" s="73" t="n"/>
      <c r="I720" s="74">
        <f>IF(OR(E720="",F720=""),"",E720*F720)</f>
        <v/>
      </c>
      <c r="J720" s="75">
        <f>IF(I720="","",IF(D720="Buy",I720+N(G720),IF(D720="Sell",I720-N(G720),IF(D720="Dividend",I720-N(G720),I720+N(G720)))))</f>
        <v/>
      </c>
      <c r="K720" s="76">
        <f>IF(B720="","",DATE(YEAR(B720),MONTH(B720),1))</f>
        <v/>
      </c>
      <c r="L720" s="77">
        <f>IF(B720="","",YEAR(B720))</f>
        <v/>
      </c>
    </row>
    <row r="721" ht="19" customHeight="1">
      <c r="A721" s="69">
        <f>IF(B721="","",ROW()-5)</f>
        <v/>
      </c>
      <c r="B721" s="43" t="n"/>
      <c r="C721" s="41" t="n"/>
      <c r="D721" s="41" t="n"/>
      <c r="E721" s="70" t="n"/>
      <c r="F721" s="71" t="n"/>
      <c r="G721" s="72" t="n"/>
      <c r="H721" s="73" t="n"/>
      <c r="I721" s="74">
        <f>IF(OR(E721="",F721=""),"",E721*F721)</f>
        <v/>
      </c>
      <c r="J721" s="75">
        <f>IF(I721="","",IF(D721="Buy",I721+N(G721),IF(D721="Sell",I721-N(G721),IF(D721="Dividend",I721-N(G721),I721+N(G721)))))</f>
        <v/>
      </c>
      <c r="K721" s="76">
        <f>IF(B721="","",DATE(YEAR(B721),MONTH(B721),1))</f>
        <v/>
      </c>
      <c r="L721" s="77">
        <f>IF(B721="","",YEAR(B721))</f>
        <v/>
      </c>
    </row>
    <row r="722" ht="19" customHeight="1">
      <c r="A722" s="69">
        <f>IF(B722="","",ROW()-5)</f>
        <v/>
      </c>
      <c r="B722" s="43" t="n"/>
      <c r="C722" s="41" t="n"/>
      <c r="D722" s="41" t="n"/>
      <c r="E722" s="70" t="n"/>
      <c r="F722" s="71" t="n"/>
      <c r="G722" s="72" t="n"/>
      <c r="H722" s="73" t="n"/>
      <c r="I722" s="74">
        <f>IF(OR(E722="",F722=""),"",E722*F722)</f>
        <v/>
      </c>
      <c r="J722" s="75">
        <f>IF(I722="","",IF(D722="Buy",I722+N(G722),IF(D722="Sell",I722-N(G722),IF(D722="Dividend",I722-N(G722),I722+N(G722)))))</f>
        <v/>
      </c>
      <c r="K722" s="76">
        <f>IF(B722="","",DATE(YEAR(B722),MONTH(B722),1))</f>
        <v/>
      </c>
      <c r="L722" s="77">
        <f>IF(B722="","",YEAR(B722))</f>
        <v/>
      </c>
    </row>
    <row r="723" ht="19" customHeight="1">
      <c r="A723" s="69">
        <f>IF(B723="","",ROW()-5)</f>
        <v/>
      </c>
      <c r="B723" s="43" t="n"/>
      <c r="C723" s="41" t="n"/>
      <c r="D723" s="41" t="n"/>
      <c r="E723" s="70" t="n"/>
      <c r="F723" s="71" t="n"/>
      <c r="G723" s="72" t="n"/>
      <c r="H723" s="73" t="n"/>
      <c r="I723" s="74">
        <f>IF(OR(E723="",F723=""),"",E723*F723)</f>
        <v/>
      </c>
      <c r="J723" s="75">
        <f>IF(I723="","",IF(D723="Buy",I723+N(G723),IF(D723="Sell",I723-N(G723),IF(D723="Dividend",I723-N(G723),I723+N(G723)))))</f>
        <v/>
      </c>
      <c r="K723" s="76">
        <f>IF(B723="","",DATE(YEAR(B723),MONTH(B723),1))</f>
        <v/>
      </c>
      <c r="L723" s="77">
        <f>IF(B723="","",YEAR(B723))</f>
        <v/>
      </c>
    </row>
    <row r="724" ht="19" customHeight="1">
      <c r="A724" s="69">
        <f>IF(B724="","",ROW()-5)</f>
        <v/>
      </c>
      <c r="B724" s="43" t="n"/>
      <c r="C724" s="41" t="n"/>
      <c r="D724" s="41" t="n"/>
      <c r="E724" s="70" t="n"/>
      <c r="F724" s="71" t="n"/>
      <c r="G724" s="72" t="n"/>
      <c r="H724" s="73" t="n"/>
      <c r="I724" s="74">
        <f>IF(OR(E724="",F724=""),"",E724*F724)</f>
        <v/>
      </c>
      <c r="J724" s="75">
        <f>IF(I724="","",IF(D724="Buy",I724+N(G724),IF(D724="Sell",I724-N(G724),IF(D724="Dividend",I724-N(G724),I724+N(G724)))))</f>
        <v/>
      </c>
      <c r="K724" s="76">
        <f>IF(B724="","",DATE(YEAR(B724),MONTH(B724),1))</f>
        <v/>
      </c>
      <c r="L724" s="77">
        <f>IF(B724="","",YEAR(B724))</f>
        <v/>
      </c>
    </row>
    <row r="725" ht="19" customHeight="1">
      <c r="A725" s="69">
        <f>IF(B725="","",ROW()-5)</f>
        <v/>
      </c>
      <c r="B725" s="43" t="n"/>
      <c r="C725" s="41" t="n"/>
      <c r="D725" s="41" t="n"/>
      <c r="E725" s="70" t="n"/>
      <c r="F725" s="71" t="n"/>
      <c r="G725" s="72" t="n"/>
      <c r="H725" s="73" t="n"/>
      <c r="I725" s="74">
        <f>IF(OR(E725="",F725=""),"",E725*F725)</f>
        <v/>
      </c>
      <c r="J725" s="75">
        <f>IF(I725="","",IF(D725="Buy",I725+N(G725),IF(D725="Sell",I725-N(G725),IF(D725="Dividend",I725-N(G725),I725+N(G725)))))</f>
        <v/>
      </c>
      <c r="K725" s="76">
        <f>IF(B725="","",DATE(YEAR(B725),MONTH(B725),1))</f>
        <v/>
      </c>
      <c r="L725" s="77">
        <f>IF(B725="","",YEAR(B725))</f>
        <v/>
      </c>
    </row>
    <row r="726" ht="19" customHeight="1">
      <c r="A726" s="69">
        <f>IF(B726="","",ROW()-5)</f>
        <v/>
      </c>
      <c r="B726" s="43" t="n"/>
      <c r="C726" s="41" t="n"/>
      <c r="D726" s="41" t="n"/>
      <c r="E726" s="70" t="n"/>
      <c r="F726" s="71" t="n"/>
      <c r="G726" s="72" t="n"/>
      <c r="H726" s="73" t="n"/>
      <c r="I726" s="74">
        <f>IF(OR(E726="",F726=""),"",E726*F726)</f>
        <v/>
      </c>
      <c r="J726" s="75">
        <f>IF(I726="","",IF(D726="Buy",I726+N(G726),IF(D726="Sell",I726-N(G726),IF(D726="Dividend",I726-N(G726),I726+N(G726)))))</f>
        <v/>
      </c>
      <c r="K726" s="76">
        <f>IF(B726="","",DATE(YEAR(B726),MONTH(B726),1))</f>
        <v/>
      </c>
      <c r="L726" s="77">
        <f>IF(B726="","",YEAR(B726))</f>
        <v/>
      </c>
    </row>
    <row r="727" ht="19" customHeight="1">
      <c r="A727" s="69">
        <f>IF(B727="","",ROW()-5)</f>
        <v/>
      </c>
      <c r="B727" s="43" t="n"/>
      <c r="C727" s="41" t="n"/>
      <c r="D727" s="41" t="n"/>
      <c r="E727" s="70" t="n"/>
      <c r="F727" s="71" t="n"/>
      <c r="G727" s="72" t="n"/>
      <c r="H727" s="73" t="n"/>
      <c r="I727" s="74">
        <f>IF(OR(E727="",F727=""),"",E727*F727)</f>
        <v/>
      </c>
      <c r="J727" s="75">
        <f>IF(I727="","",IF(D727="Buy",I727+N(G727),IF(D727="Sell",I727-N(G727),IF(D727="Dividend",I727-N(G727),I727+N(G727)))))</f>
        <v/>
      </c>
      <c r="K727" s="76">
        <f>IF(B727="","",DATE(YEAR(B727),MONTH(B727),1))</f>
        <v/>
      </c>
      <c r="L727" s="77">
        <f>IF(B727="","",YEAR(B727))</f>
        <v/>
      </c>
    </row>
    <row r="728" ht="19" customHeight="1">
      <c r="A728" s="69">
        <f>IF(B728="","",ROW()-5)</f>
        <v/>
      </c>
      <c r="B728" s="43" t="n"/>
      <c r="C728" s="41" t="n"/>
      <c r="D728" s="41" t="n"/>
      <c r="E728" s="70" t="n"/>
      <c r="F728" s="71" t="n"/>
      <c r="G728" s="72" t="n"/>
      <c r="H728" s="73" t="n"/>
      <c r="I728" s="74">
        <f>IF(OR(E728="",F728=""),"",E728*F728)</f>
        <v/>
      </c>
      <c r="J728" s="75">
        <f>IF(I728="","",IF(D728="Buy",I728+N(G728),IF(D728="Sell",I728-N(G728),IF(D728="Dividend",I728-N(G728),I728+N(G728)))))</f>
        <v/>
      </c>
      <c r="K728" s="76">
        <f>IF(B728="","",DATE(YEAR(B728),MONTH(B728),1))</f>
        <v/>
      </c>
      <c r="L728" s="77">
        <f>IF(B728="","",YEAR(B728))</f>
        <v/>
      </c>
    </row>
    <row r="729" ht="19" customHeight="1">
      <c r="A729" s="69">
        <f>IF(B729="","",ROW()-5)</f>
        <v/>
      </c>
      <c r="B729" s="43" t="n"/>
      <c r="C729" s="41" t="n"/>
      <c r="D729" s="41" t="n"/>
      <c r="E729" s="70" t="n"/>
      <c r="F729" s="71" t="n"/>
      <c r="G729" s="72" t="n"/>
      <c r="H729" s="73" t="n"/>
      <c r="I729" s="74">
        <f>IF(OR(E729="",F729=""),"",E729*F729)</f>
        <v/>
      </c>
      <c r="J729" s="75">
        <f>IF(I729="","",IF(D729="Buy",I729+N(G729),IF(D729="Sell",I729-N(G729),IF(D729="Dividend",I729-N(G729),I729+N(G729)))))</f>
        <v/>
      </c>
      <c r="K729" s="76">
        <f>IF(B729="","",DATE(YEAR(B729),MONTH(B729),1))</f>
        <v/>
      </c>
      <c r="L729" s="77">
        <f>IF(B729="","",YEAR(B729))</f>
        <v/>
      </c>
    </row>
    <row r="730" ht="19" customHeight="1">
      <c r="A730" s="69">
        <f>IF(B730="","",ROW()-5)</f>
        <v/>
      </c>
      <c r="B730" s="43" t="n"/>
      <c r="C730" s="41" t="n"/>
      <c r="D730" s="41" t="n"/>
      <c r="E730" s="70" t="n"/>
      <c r="F730" s="71" t="n"/>
      <c r="G730" s="72" t="n"/>
      <c r="H730" s="73" t="n"/>
      <c r="I730" s="74">
        <f>IF(OR(E730="",F730=""),"",E730*F730)</f>
        <v/>
      </c>
      <c r="J730" s="75">
        <f>IF(I730="","",IF(D730="Buy",I730+N(G730),IF(D730="Sell",I730-N(G730),IF(D730="Dividend",I730-N(G730),I730+N(G730)))))</f>
        <v/>
      </c>
      <c r="K730" s="76">
        <f>IF(B730="","",DATE(YEAR(B730),MONTH(B730),1))</f>
        <v/>
      </c>
      <c r="L730" s="77">
        <f>IF(B730="","",YEAR(B730))</f>
        <v/>
      </c>
    </row>
    <row r="731" ht="19" customHeight="1">
      <c r="A731" s="69">
        <f>IF(B731="","",ROW()-5)</f>
        <v/>
      </c>
      <c r="B731" s="43" t="n"/>
      <c r="C731" s="41" t="n"/>
      <c r="D731" s="41" t="n"/>
      <c r="E731" s="70" t="n"/>
      <c r="F731" s="71" t="n"/>
      <c r="G731" s="72" t="n"/>
      <c r="H731" s="73" t="n"/>
      <c r="I731" s="74">
        <f>IF(OR(E731="",F731=""),"",E731*F731)</f>
        <v/>
      </c>
      <c r="J731" s="75">
        <f>IF(I731="","",IF(D731="Buy",I731+N(G731),IF(D731="Sell",I731-N(G731),IF(D731="Dividend",I731-N(G731),I731+N(G731)))))</f>
        <v/>
      </c>
      <c r="K731" s="76">
        <f>IF(B731="","",DATE(YEAR(B731),MONTH(B731),1))</f>
        <v/>
      </c>
      <c r="L731" s="77">
        <f>IF(B731="","",YEAR(B731))</f>
        <v/>
      </c>
    </row>
    <row r="732" ht="19" customHeight="1">
      <c r="A732" s="69">
        <f>IF(B732="","",ROW()-5)</f>
        <v/>
      </c>
      <c r="B732" s="43" t="n"/>
      <c r="C732" s="41" t="n"/>
      <c r="D732" s="41" t="n"/>
      <c r="E732" s="70" t="n"/>
      <c r="F732" s="71" t="n"/>
      <c r="G732" s="72" t="n"/>
      <c r="H732" s="73" t="n"/>
      <c r="I732" s="74">
        <f>IF(OR(E732="",F732=""),"",E732*F732)</f>
        <v/>
      </c>
      <c r="J732" s="75">
        <f>IF(I732="","",IF(D732="Buy",I732+N(G732),IF(D732="Sell",I732-N(G732),IF(D732="Dividend",I732-N(G732),I732+N(G732)))))</f>
        <v/>
      </c>
      <c r="K732" s="76">
        <f>IF(B732="","",DATE(YEAR(B732),MONTH(B732),1))</f>
        <v/>
      </c>
      <c r="L732" s="77">
        <f>IF(B732="","",YEAR(B732))</f>
        <v/>
      </c>
    </row>
    <row r="733" ht="19" customHeight="1">
      <c r="A733" s="69">
        <f>IF(B733="","",ROW()-5)</f>
        <v/>
      </c>
      <c r="B733" s="43" t="n"/>
      <c r="C733" s="41" t="n"/>
      <c r="D733" s="41" t="n"/>
      <c r="E733" s="70" t="n"/>
      <c r="F733" s="71" t="n"/>
      <c r="G733" s="72" t="n"/>
      <c r="H733" s="73" t="n"/>
      <c r="I733" s="74">
        <f>IF(OR(E733="",F733=""),"",E733*F733)</f>
        <v/>
      </c>
      <c r="J733" s="75">
        <f>IF(I733="","",IF(D733="Buy",I733+N(G733),IF(D733="Sell",I733-N(G733),IF(D733="Dividend",I733-N(G733),I733+N(G733)))))</f>
        <v/>
      </c>
      <c r="K733" s="76">
        <f>IF(B733="","",DATE(YEAR(B733),MONTH(B733),1))</f>
        <v/>
      </c>
      <c r="L733" s="77">
        <f>IF(B733="","",YEAR(B733))</f>
        <v/>
      </c>
    </row>
    <row r="734" ht="19" customHeight="1">
      <c r="A734" s="69">
        <f>IF(B734="","",ROW()-5)</f>
        <v/>
      </c>
      <c r="B734" s="43" t="n"/>
      <c r="C734" s="41" t="n"/>
      <c r="D734" s="41" t="n"/>
      <c r="E734" s="70" t="n"/>
      <c r="F734" s="71" t="n"/>
      <c r="G734" s="72" t="n"/>
      <c r="H734" s="73" t="n"/>
      <c r="I734" s="74">
        <f>IF(OR(E734="",F734=""),"",E734*F734)</f>
        <v/>
      </c>
      <c r="J734" s="75">
        <f>IF(I734="","",IF(D734="Buy",I734+N(G734),IF(D734="Sell",I734-N(G734),IF(D734="Dividend",I734-N(G734),I734+N(G734)))))</f>
        <v/>
      </c>
      <c r="K734" s="76">
        <f>IF(B734="","",DATE(YEAR(B734),MONTH(B734),1))</f>
        <v/>
      </c>
      <c r="L734" s="77">
        <f>IF(B734="","",YEAR(B734))</f>
        <v/>
      </c>
    </row>
    <row r="735" ht="19" customHeight="1">
      <c r="A735" s="69">
        <f>IF(B735="","",ROW()-5)</f>
        <v/>
      </c>
      <c r="B735" s="43" t="n"/>
      <c r="C735" s="41" t="n"/>
      <c r="D735" s="41" t="n"/>
      <c r="E735" s="70" t="n"/>
      <c r="F735" s="71" t="n"/>
      <c r="G735" s="72" t="n"/>
      <c r="H735" s="73" t="n"/>
      <c r="I735" s="74">
        <f>IF(OR(E735="",F735=""),"",E735*F735)</f>
        <v/>
      </c>
      <c r="J735" s="75">
        <f>IF(I735="","",IF(D735="Buy",I735+N(G735),IF(D735="Sell",I735-N(G735),IF(D735="Dividend",I735-N(G735),I735+N(G735)))))</f>
        <v/>
      </c>
      <c r="K735" s="76">
        <f>IF(B735="","",DATE(YEAR(B735),MONTH(B735),1))</f>
        <v/>
      </c>
      <c r="L735" s="77">
        <f>IF(B735="","",YEAR(B735))</f>
        <v/>
      </c>
    </row>
    <row r="736" ht="19" customHeight="1">
      <c r="A736" s="69">
        <f>IF(B736="","",ROW()-5)</f>
        <v/>
      </c>
      <c r="B736" s="43" t="n"/>
      <c r="C736" s="41" t="n"/>
      <c r="D736" s="41" t="n"/>
      <c r="E736" s="70" t="n"/>
      <c r="F736" s="71" t="n"/>
      <c r="G736" s="72" t="n"/>
      <c r="H736" s="73" t="n"/>
      <c r="I736" s="74">
        <f>IF(OR(E736="",F736=""),"",E736*F736)</f>
        <v/>
      </c>
      <c r="J736" s="75">
        <f>IF(I736="","",IF(D736="Buy",I736+N(G736),IF(D736="Sell",I736-N(G736),IF(D736="Dividend",I736-N(G736),I736+N(G736)))))</f>
        <v/>
      </c>
      <c r="K736" s="76">
        <f>IF(B736="","",DATE(YEAR(B736),MONTH(B736),1))</f>
        <v/>
      </c>
      <c r="L736" s="77">
        <f>IF(B736="","",YEAR(B736))</f>
        <v/>
      </c>
    </row>
    <row r="737" ht="19" customHeight="1">
      <c r="A737" s="69">
        <f>IF(B737="","",ROW()-5)</f>
        <v/>
      </c>
      <c r="B737" s="43" t="n"/>
      <c r="C737" s="41" t="n"/>
      <c r="D737" s="41" t="n"/>
      <c r="E737" s="70" t="n"/>
      <c r="F737" s="71" t="n"/>
      <c r="G737" s="72" t="n"/>
      <c r="H737" s="73" t="n"/>
      <c r="I737" s="74">
        <f>IF(OR(E737="",F737=""),"",E737*F737)</f>
        <v/>
      </c>
      <c r="J737" s="75">
        <f>IF(I737="","",IF(D737="Buy",I737+N(G737),IF(D737="Sell",I737-N(G737),IF(D737="Dividend",I737-N(G737),I737+N(G737)))))</f>
        <v/>
      </c>
      <c r="K737" s="76">
        <f>IF(B737="","",DATE(YEAR(B737),MONTH(B737),1))</f>
        <v/>
      </c>
      <c r="L737" s="77">
        <f>IF(B737="","",YEAR(B737))</f>
        <v/>
      </c>
    </row>
    <row r="738" ht="19" customHeight="1">
      <c r="A738" s="69">
        <f>IF(B738="","",ROW()-5)</f>
        <v/>
      </c>
      <c r="B738" s="43" t="n"/>
      <c r="C738" s="41" t="n"/>
      <c r="D738" s="41" t="n"/>
      <c r="E738" s="70" t="n"/>
      <c r="F738" s="71" t="n"/>
      <c r="G738" s="72" t="n"/>
      <c r="H738" s="73" t="n"/>
      <c r="I738" s="74">
        <f>IF(OR(E738="",F738=""),"",E738*F738)</f>
        <v/>
      </c>
      <c r="J738" s="75">
        <f>IF(I738="","",IF(D738="Buy",I738+N(G738),IF(D738="Sell",I738-N(G738),IF(D738="Dividend",I738-N(G738),I738+N(G738)))))</f>
        <v/>
      </c>
      <c r="K738" s="76">
        <f>IF(B738="","",DATE(YEAR(B738),MONTH(B738),1))</f>
        <v/>
      </c>
      <c r="L738" s="77">
        <f>IF(B738="","",YEAR(B738))</f>
        <v/>
      </c>
    </row>
    <row r="739" ht="19" customHeight="1">
      <c r="A739" s="69">
        <f>IF(B739="","",ROW()-5)</f>
        <v/>
      </c>
      <c r="B739" s="43" t="n"/>
      <c r="C739" s="41" t="n"/>
      <c r="D739" s="41" t="n"/>
      <c r="E739" s="70" t="n"/>
      <c r="F739" s="71" t="n"/>
      <c r="G739" s="72" t="n"/>
      <c r="H739" s="73" t="n"/>
      <c r="I739" s="74">
        <f>IF(OR(E739="",F739=""),"",E739*F739)</f>
        <v/>
      </c>
      <c r="J739" s="75">
        <f>IF(I739="","",IF(D739="Buy",I739+N(G739),IF(D739="Sell",I739-N(G739),IF(D739="Dividend",I739-N(G739),I739+N(G739)))))</f>
        <v/>
      </c>
      <c r="K739" s="76">
        <f>IF(B739="","",DATE(YEAR(B739),MONTH(B739),1))</f>
        <v/>
      </c>
      <c r="L739" s="77">
        <f>IF(B739="","",YEAR(B739))</f>
        <v/>
      </c>
    </row>
    <row r="740" ht="19" customHeight="1">
      <c r="A740" s="69">
        <f>IF(B740="","",ROW()-5)</f>
        <v/>
      </c>
      <c r="B740" s="43" t="n"/>
      <c r="C740" s="41" t="n"/>
      <c r="D740" s="41" t="n"/>
      <c r="E740" s="70" t="n"/>
      <c r="F740" s="71" t="n"/>
      <c r="G740" s="72" t="n"/>
      <c r="H740" s="73" t="n"/>
      <c r="I740" s="74">
        <f>IF(OR(E740="",F740=""),"",E740*F740)</f>
        <v/>
      </c>
      <c r="J740" s="75">
        <f>IF(I740="","",IF(D740="Buy",I740+N(G740),IF(D740="Sell",I740-N(G740),IF(D740="Dividend",I740-N(G740),I740+N(G740)))))</f>
        <v/>
      </c>
      <c r="K740" s="76">
        <f>IF(B740="","",DATE(YEAR(B740),MONTH(B740),1))</f>
        <v/>
      </c>
      <c r="L740" s="77">
        <f>IF(B740="","",YEAR(B740))</f>
        <v/>
      </c>
    </row>
    <row r="741" ht="19" customHeight="1">
      <c r="A741" s="69">
        <f>IF(B741="","",ROW()-5)</f>
        <v/>
      </c>
      <c r="B741" s="43" t="n"/>
      <c r="C741" s="41" t="n"/>
      <c r="D741" s="41" t="n"/>
      <c r="E741" s="70" t="n"/>
      <c r="F741" s="71" t="n"/>
      <c r="G741" s="72" t="n"/>
      <c r="H741" s="73" t="n"/>
      <c r="I741" s="74">
        <f>IF(OR(E741="",F741=""),"",E741*F741)</f>
        <v/>
      </c>
      <c r="J741" s="75">
        <f>IF(I741="","",IF(D741="Buy",I741+N(G741),IF(D741="Sell",I741-N(G741),IF(D741="Dividend",I741-N(G741),I741+N(G741)))))</f>
        <v/>
      </c>
      <c r="K741" s="76">
        <f>IF(B741="","",DATE(YEAR(B741),MONTH(B741),1))</f>
        <v/>
      </c>
      <c r="L741" s="77">
        <f>IF(B741="","",YEAR(B741))</f>
        <v/>
      </c>
    </row>
    <row r="742" ht="19" customHeight="1">
      <c r="A742" s="69">
        <f>IF(B742="","",ROW()-5)</f>
        <v/>
      </c>
      <c r="B742" s="43" t="n"/>
      <c r="C742" s="41" t="n"/>
      <c r="D742" s="41" t="n"/>
      <c r="E742" s="70" t="n"/>
      <c r="F742" s="71" t="n"/>
      <c r="G742" s="72" t="n"/>
      <c r="H742" s="73" t="n"/>
      <c r="I742" s="74">
        <f>IF(OR(E742="",F742=""),"",E742*F742)</f>
        <v/>
      </c>
      <c r="J742" s="75">
        <f>IF(I742="","",IF(D742="Buy",I742+N(G742),IF(D742="Sell",I742-N(G742),IF(D742="Dividend",I742-N(G742),I742+N(G742)))))</f>
        <v/>
      </c>
      <c r="K742" s="76">
        <f>IF(B742="","",DATE(YEAR(B742),MONTH(B742),1))</f>
        <v/>
      </c>
      <c r="L742" s="77">
        <f>IF(B742="","",YEAR(B742))</f>
        <v/>
      </c>
    </row>
    <row r="743" ht="19" customHeight="1">
      <c r="A743" s="69">
        <f>IF(B743="","",ROW()-5)</f>
        <v/>
      </c>
      <c r="B743" s="43" t="n"/>
      <c r="C743" s="41" t="n"/>
      <c r="D743" s="41" t="n"/>
      <c r="E743" s="70" t="n"/>
      <c r="F743" s="71" t="n"/>
      <c r="G743" s="72" t="n"/>
      <c r="H743" s="73" t="n"/>
      <c r="I743" s="74">
        <f>IF(OR(E743="",F743=""),"",E743*F743)</f>
        <v/>
      </c>
      <c r="J743" s="75">
        <f>IF(I743="","",IF(D743="Buy",I743+N(G743),IF(D743="Sell",I743-N(G743),IF(D743="Dividend",I743-N(G743),I743+N(G743)))))</f>
        <v/>
      </c>
      <c r="K743" s="76">
        <f>IF(B743="","",DATE(YEAR(B743),MONTH(B743),1))</f>
        <v/>
      </c>
      <c r="L743" s="77">
        <f>IF(B743="","",YEAR(B743))</f>
        <v/>
      </c>
    </row>
    <row r="744" ht="19" customHeight="1">
      <c r="A744" s="69">
        <f>IF(B744="","",ROW()-5)</f>
        <v/>
      </c>
      <c r="B744" s="43" t="n"/>
      <c r="C744" s="41" t="n"/>
      <c r="D744" s="41" t="n"/>
      <c r="E744" s="70" t="n"/>
      <c r="F744" s="71" t="n"/>
      <c r="G744" s="72" t="n"/>
      <c r="H744" s="73" t="n"/>
      <c r="I744" s="74">
        <f>IF(OR(E744="",F744=""),"",E744*F744)</f>
        <v/>
      </c>
      <c r="J744" s="75">
        <f>IF(I744="","",IF(D744="Buy",I744+N(G744),IF(D744="Sell",I744-N(G744),IF(D744="Dividend",I744-N(G744),I744+N(G744)))))</f>
        <v/>
      </c>
      <c r="K744" s="76">
        <f>IF(B744="","",DATE(YEAR(B744),MONTH(B744),1))</f>
        <v/>
      </c>
      <c r="L744" s="77">
        <f>IF(B744="","",YEAR(B744))</f>
        <v/>
      </c>
    </row>
    <row r="745" ht="19" customHeight="1">
      <c r="A745" s="69">
        <f>IF(B745="","",ROW()-5)</f>
        <v/>
      </c>
      <c r="B745" s="43" t="n"/>
      <c r="C745" s="41" t="n"/>
      <c r="D745" s="41" t="n"/>
      <c r="E745" s="70" t="n"/>
      <c r="F745" s="71" t="n"/>
      <c r="G745" s="72" t="n"/>
      <c r="H745" s="73" t="n"/>
      <c r="I745" s="74">
        <f>IF(OR(E745="",F745=""),"",E745*F745)</f>
        <v/>
      </c>
      <c r="J745" s="75">
        <f>IF(I745="","",IF(D745="Buy",I745+N(G745),IF(D745="Sell",I745-N(G745),IF(D745="Dividend",I745-N(G745),I745+N(G745)))))</f>
        <v/>
      </c>
      <c r="K745" s="76">
        <f>IF(B745="","",DATE(YEAR(B745),MONTH(B745),1))</f>
        <v/>
      </c>
      <c r="L745" s="77">
        <f>IF(B745="","",YEAR(B745))</f>
        <v/>
      </c>
    </row>
    <row r="746" ht="19" customHeight="1">
      <c r="A746" s="69">
        <f>IF(B746="","",ROW()-5)</f>
        <v/>
      </c>
      <c r="B746" s="43" t="n"/>
      <c r="C746" s="41" t="n"/>
      <c r="D746" s="41" t="n"/>
      <c r="E746" s="70" t="n"/>
      <c r="F746" s="71" t="n"/>
      <c r="G746" s="72" t="n"/>
      <c r="H746" s="73" t="n"/>
      <c r="I746" s="74">
        <f>IF(OR(E746="",F746=""),"",E746*F746)</f>
        <v/>
      </c>
      <c r="J746" s="75">
        <f>IF(I746="","",IF(D746="Buy",I746+N(G746),IF(D746="Sell",I746-N(G746),IF(D746="Dividend",I746-N(G746),I746+N(G746)))))</f>
        <v/>
      </c>
      <c r="K746" s="76">
        <f>IF(B746="","",DATE(YEAR(B746),MONTH(B746),1))</f>
        <v/>
      </c>
      <c r="L746" s="77">
        <f>IF(B746="","",YEAR(B746))</f>
        <v/>
      </c>
    </row>
    <row r="747" ht="19" customHeight="1">
      <c r="A747" s="69">
        <f>IF(B747="","",ROW()-5)</f>
        <v/>
      </c>
      <c r="B747" s="43" t="n"/>
      <c r="C747" s="41" t="n"/>
      <c r="D747" s="41" t="n"/>
      <c r="E747" s="70" t="n"/>
      <c r="F747" s="71" t="n"/>
      <c r="G747" s="72" t="n"/>
      <c r="H747" s="73" t="n"/>
      <c r="I747" s="74">
        <f>IF(OR(E747="",F747=""),"",E747*F747)</f>
        <v/>
      </c>
      <c r="J747" s="75">
        <f>IF(I747="","",IF(D747="Buy",I747+N(G747),IF(D747="Sell",I747-N(G747),IF(D747="Dividend",I747-N(G747),I747+N(G747)))))</f>
        <v/>
      </c>
      <c r="K747" s="76">
        <f>IF(B747="","",DATE(YEAR(B747),MONTH(B747),1))</f>
        <v/>
      </c>
      <c r="L747" s="77">
        <f>IF(B747="","",YEAR(B747))</f>
        <v/>
      </c>
    </row>
    <row r="748" ht="19" customHeight="1">
      <c r="A748" s="69">
        <f>IF(B748="","",ROW()-5)</f>
        <v/>
      </c>
      <c r="B748" s="43" t="n"/>
      <c r="C748" s="41" t="n"/>
      <c r="D748" s="41" t="n"/>
      <c r="E748" s="70" t="n"/>
      <c r="F748" s="71" t="n"/>
      <c r="G748" s="72" t="n"/>
      <c r="H748" s="73" t="n"/>
      <c r="I748" s="74">
        <f>IF(OR(E748="",F748=""),"",E748*F748)</f>
        <v/>
      </c>
      <c r="J748" s="75">
        <f>IF(I748="","",IF(D748="Buy",I748+N(G748),IF(D748="Sell",I748-N(G748),IF(D748="Dividend",I748-N(G748),I748+N(G748)))))</f>
        <v/>
      </c>
      <c r="K748" s="76">
        <f>IF(B748="","",DATE(YEAR(B748),MONTH(B748),1))</f>
        <v/>
      </c>
      <c r="L748" s="77">
        <f>IF(B748="","",YEAR(B748))</f>
        <v/>
      </c>
    </row>
    <row r="749" ht="19" customHeight="1">
      <c r="A749" s="69">
        <f>IF(B749="","",ROW()-5)</f>
        <v/>
      </c>
      <c r="B749" s="43" t="n"/>
      <c r="C749" s="41" t="n"/>
      <c r="D749" s="41" t="n"/>
      <c r="E749" s="70" t="n"/>
      <c r="F749" s="71" t="n"/>
      <c r="G749" s="72" t="n"/>
      <c r="H749" s="73" t="n"/>
      <c r="I749" s="74">
        <f>IF(OR(E749="",F749=""),"",E749*F749)</f>
        <v/>
      </c>
      <c r="J749" s="75">
        <f>IF(I749="","",IF(D749="Buy",I749+N(G749),IF(D749="Sell",I749-N(G749),IF(D749="Dividend",I749-N(G749),I749+N(G749)))))</f>
        <v/>
      </c>
      <c r="K749" s="76">
        <f>IF(B749="","",DATE(YEAR(B749),MONTH(B749),1))</f>
        <v/>
      </c>
      <c r="L749" s="77">
        <f>IF(B749="","",YEAR(B749))</f>
        <v/>
      </c>
    </row>
    <row r="750" ht="19" customHeight="1">
      <c r="A750" s="69">
        <f>IF(B750="","",ROW()-5)</f>
        <v/>
      </c>
      <c r="B750" s="43" t="n"/>
      <c r="C750" s="41" t="n"/>
      <c r="D750" s="41" t="n"/>
      <c r="E750" s="70" t="n"/>
      <c r="F750" s="71" t="n"/>
      <c r="G750" s="72" t="n"/>
      <c r="H750" s="73" t="n"/>
      <c r="I750" s="74">
        <f>IF(OR(E750="",F750=""),"",E750*F750)</f>
        <v/>
      </c>
      <c r="J750" s="75">
        <f>IF(I750="","",IF(D750="Buy",I750+N(G750),IF(D750="Sell",I750-N(G750),IF(D750="Dividend",I750-N(G750),I750+N(G750)))))</f>
        <v/>
      </c>
      <c r="K750" s="76">
        <f>IF(B750="","",DATE(YEAR(B750),MONTH(B750),1))</f>
        <v/>
      </c>
      <c r="L750" s="77">
        <f>IF(B750="","",YEAR(B750))</f>
        <v/>
      </c>
    </row>
    <row r="751" ht="19" customHeight="1">
      <c r="A751" s="69">
        <f>IF(B751="","",ROW()-5)</f>
        <v/>
      </c>
      <c r="B751" s="43" t="n"/>
      <c r="C751" s="41" t="n"/>
      <c r="D751" s="41" t="n"/>
      <c r="E751" s="70" t="n"/>
      <c r="F751" s="71" t="n"/>
      <c r="G751" s="72" t="n"/>
      <c r="H751" s="73" t="n"/>
      <c r="I751" s="74">
        <f>IF(OR(E751="",F751=""),"",E751*F751)</f>
        <v/>
      </c>
      <c r="J751" s="75">
        <f>IF(I751="","",IF(D751="Buy",I751+N(G751),IF(D751="Sell",I751-N(G751),IF(D751="Dividend",I751-N(G751),I751+N(G751)))))</f>
        <v/>
      </c>
      <c r="K751" s="76">
        <f>IF(B751="","",DATE(YEAR(B751),MONTH(B751),1))</f>
        <v/>
      </c>
      <c r="L751" s="77">
        <f>IF(B751="","",YEAR(B751))</f>
        <v/>
      </c>
    </row>
    <row r="752" ht="19" customHeight="1">
      <c r="A752" s="69">
        <f>IF(B752="","",ROW()-5)</f>
        <v/>
      </c>
      <c r="B752" s="43" t="n"/>
      <c r="C752" s="41" t="n"/>
      <c r="D752" s="41" t="n"/>
      <c r="E752" s="70" t="n"/>
      <c r="F752" s="71" t="n"/>
      <c r="G752" s="72" t="n"/>
      <c r="H752" s="73" t="n"/>
      <c r="I752" s="74">
        <f>IF(OR(E752="",F752=""),"",E752*F752)</f>
        <v/>
      </c>
      <c r="J752" s="75">
        <f>IF(I752="","",IF(D752="Buy",I752+N(G752),IF(D752="Sell",I752-N(G752),IF(D752="Dividend",I752-N(G752),I752+N(G752)))))</f>
        <v/>
      </c>
      <c r="K752" s="76">
        <f>IF(B752="","",DATE(YEAR(B752),MONTH(B752),1))</f>
        <v/>
      </c>
      <c r="L752" s="77">
        <f>IF(B752="","",YEAR(B752))</f>
        <v/>
      </c>
    </row>
    <row r="753" ht="19" customHeight="1">
      <c r="A753" s="69">
        <f>IF(B753="","",ROW()-5)</f>
        <v/>
      </c>
      <c r="B753" s="43" t="n"/>
      <c r="C753" s="41" t="n"/>
      <c r="D753" s="41" t="n"/>
      <c r="E753" s="70" t="n"/>
      <c r="F753" s="71" t="n"/>
      <c r="G753" s="72" t="n"/>
      <c r="H753" s="73" t="n"/>
      <c r="I753" s="74">
        <f>IF(OR(E753="",F753=""),"",E753*F753)</f>
        <v/>
      </c>
      <c r="J753" s="75">
        <f>IF(I753="","",IF(D753="Buy",I753+N(G753),IF(D753="Sell",I753-N(G753),IF(D753="Dividend",I753-N(G753),I753+N(G753)))))</f>
        <v/>
      </c>
      <c r="K753" s="76">
        <f>IF(B753="","",DATE(YEAR(B753),MONTH(B753),1))</f>
        <v/>
      </c>
      <c r="L753" s="77">
        <f>IF(B753="","",YEAR(B753))</f>
        <v/>
      </c>
    </row>
    <row r="754" ht="19" customHeight="1">
      <c r="A754" s="69">
        <f>IF(B754="","",ROW()-5)</f>
        <v/>
      </c>
      <c r="B754" s="43" t="n"/>
      <c r="C754" s="41" t="n"/>
      <c r="D754" s="41" t="n"/>
      <c r="E754" s="70" t="n"/>
      <c r="F754" s="71" t="n"/>
      <c r="G754" s="72" t="n"/>
      <c r="H754" s="73" t="n"/>
      <c r="I754" s="74">
        <f>IF(OR(E754="",F754=""),"",E754*F754)</f>
        <v/>
      </c>
      <c r="J754" s="75">
        <f>IF(I754="","",IF(D754="Buy",I754+N(G754),IF(D754="Sell",I754-N(G754),IF(D754="Dividend",I754-N(G754),I754+N(G754)))))</f>
        <v/>
      </c>
      <c r="K754" s="76">
        <f>IF(B754="","",DATE(YEAR(B754),MONTH(B754),1))</f>
        <v/>
      </c>
      <c r="L754" s="77">
        <f>IF(B754="","",YEAR(B754))</f>
        <v/>
      </c>
    </row>
    <row r="755" ht="19" customHeight="1">
      <c r="A755" s="69">
        <f>IF(B755="","",ROW()-5)</f>
        <v/>
      </c>
      <c r="B755" s="43" t="n"/>
      <c r="C755" s="41" t="n"/>
      <c r="D755" s="41" t="n"/>
      <c r="E755" s="70" t="n"/>
      <c r="F755" s="71" t="n"/>
      <c r="G755" s="72" t="n"/>
      <c r="H755" s="73" t="n"/>
      <c r="I755" s="74">
        <f>IF(OR(E755="",F755=""),"",E755*F755)</f>
        <v/>
      </c>
      <c r="J755" s="75">
        <f>IF(I755="","",IF(D755="Buy",I755+N(G755),IF(D755="Sell",I755-N(G755),IF(D755="Dividend",I755-N(G755),I755+N(G755)))))</f>
        <v/>
      </c>
      <c r="K755" s="76">
        <f>IF(B755="","",DATE(YEAR(B755),MONTH(B755),1))</f>
        <v/>
      </c>
      <c r="L755" s="77">
        <f>IF(B755="","",YEAR(B755))</f>
        <v/>
      </c>
    </row>
    <row r="756" ht="19" customHeight="1">
      <c r="A756" s="69">
        <f>IF(B756="","",ROW()-5)</f>
        <v/>
      </c>
      <c r="B756" s="43" t="n"/>
      <c r="C756" s="41" t="n"/>
      <c r="D756" s="41" t="n"/>
      <c r="E756" s="70" t="n"/>
      <c r="F756" s="71" t="n"/>
      <c r="G756" s="72" t="n"/>
      <c r="H756" s="73" t="n"/>
      <c r="I756" s="74">
        <f>IF(OR(E756="",F756=""),"",E756*F756)</f>
        <v/>
      </c>
      <c r="J756" s="75">
        <f>IF(I756="","",IF(D756="Buy",I756+N(G756),IF(D756="Sell",I756-N(G756),IF(D756="Dividend",I756-N(G756),I756+N(G756)))))</f>
        <v/>
      </c>
      <c r="K756" s="76">
        <f>IF(B756="","",DATE(YEAR(B756),MONTH(B756),1))</f>
        <v/>
      </c>
      <c r="L756" s="77">
        <f>IF(B756="","",YEAR(B756))</f>
        <v/>
      </c>
    </row>
    <row r="757" ht="19" customHeight="1">
      <c r="A757" s="69">
        <f>IF(B757="","",ROW()-5)</f>
        <v/>
      </c>
      <c r="B757" s="43" t="n"/>
      <c r="C757" s="41" t="n"/>
      <c r="D757" s="41" t="n"/>
      <c r="E757" s="70" t="n"/>
      <c r="F757" s="71" t="n"/>
      <c r="G757" s="72" t="n"/>
      <c r="H757" s="73" t="n"/>
      <c r="I757" s="74">
        <f>IF(OR(E757="",F757=""),"",E757*F757)</f>
        <v/>
      </c>
      <c r="J757" s="75">
        <f>IF(I757="","",IF(D757="Buy",I757+N(G757),IF(D757="Sell",I757-N(G757),IF(D757="Dividend",I757-N(G757),I757+N(G757)))))</f>
        <v/>
      </c>
      <c r="K757" s="76">
        <f>IF(B757="","",DATE(YEAR(B757),MONTH(B757),1))</f>
        <v/>
      </c>
      <c r="L757" s="77">
        <f>IF(B757="","",YEAR(B757))</f>
        <v/>
      </c>
    </row>
    <row r="758" ht="19" customHeight="1">
      <c r="A758" s="69">
        <f>IF(B758="","",ROW()-5)</f>
        <v/>
      </c>
      <c r="B758" s="43" t="n"/>
      <c r="C758" s="41" t="n"/>
      <c r="D758" s="41" t="n"/>
      <c r="E758" s="70" t="n"/>
      <c r="F758" s="71" t="n"/>
      <c r="G758" s="72" t="n"/>
      <c r="H758" s="73" t="n"/>
      <c r="I758" s="74">
        <f>IF(OR(E758="",F758=""),"",E758*F758)</f>
        <v/>
      </c>
      <c r="J758" s="75">
        <f>IF(I758="","",IF(D758="Buy",I758+N(G758),IF(D758="Sell",I758-N(G758),IF(D758="Dividend",I758-N(G758),I758+N(G758)))))</f>
        <v/>
      </c>
      <c r="K758" s="76">
        <f>IF(B758="","",DATE(YEAR(B758),MONTH(B758),1))</f>
        <v/>
      </c>
      <c r="L758" s="77">
        <f>IF(B758="","",YEAR(B758))</f>
        <v/>
      </c>
    </row>
    <row r="759" ht="19" customHeight="1">
      <c r="A759" s="69">
        <f>IF(B759="","",ROW()-5)</f>
        <v/>
      </c>
      <c r="B759" s="43" t="n"/>
      <c r="C759" s="41" t="n"/>
      <c r="D759" s="41" t="n"/>
      <c r="E759" s="70" t="n"/>
      <c r="F759" s="71" t="n"/>
      <c r="G759" s="72" t="n"/>
      <c r="H759" s="73" t="n"/>
      <c r="I759" s="74">
        <f>IF(OR(E759="",F759=""),"",E759*F759)</f>
        <v/>
      </c>
      <c r="J759" s="75">
        <f>IF(I759="","",IF(D759="Buy",I759+N(G759),IF(D759="Sell",I759-N(G759),IF(D759="Dividend",I759-N(G759),I759+N(G759)))))</f>
        <v/>
      </c>
      <c r="K759" s="76">
        <f>IF(B759="","",DATE(YEAR(B759),MONTH(B759),1))</f>
        <v/>
      </c>
      <c r="L759" s="77">
        <f>IF(B759="","",YEAR(B759))</f>
        <v/>
      </c>
    </row>
    <row r="760" ht="19" customHeight="1">
      <c r="A760" s="69">
        <f>IF(B760="","",ROW()-5)</f>
        <v/>
      </c>
      <c r="B760" s="43" t="n"/>
      <c r="C760" s="41" t="n"/>
      <c r="D760" s="41" t="n"/>
      <c r="E760" s="70" t="n"/>
      <c r="F760" s="71" t="n"/>
      <c r="G760" s="72" t="n"/>
      <c r="H760" s="73" t="n"/>
      <c r="I760" s="74">
        <f>IF(OR(E760="",F760=""),"",E760*F760)</f>
        <v/>
      </c>
      <c r="J760" s="75">
        <f>IF(I760="","",IF(D760="Buy",I760+N(G760),IF(D760="Sell",I760-N(G760),IF(D760="Dividend",I760-N(G760),I760+N(G760)))))</f>
        <v/>
      </c>
      <c r="K760" s="76">
        <f>IF(B760="","",DATE(YEAR(B760),MONTH(B760),1))</f>
        <v/>
      </c>
      <c r="L760" s="77">
        <f>IF(B760="","",YEAR(B760))</f>
        <v/>
      </c>
    </row>
    <row r="761" ht="19" customHeight="1">
      <c r="A761" s="69">
        <f>IF(B761="","",ROW()-5)</f>
        <v/>
      </c>
      <c r="B761" s="43" t="n"/>
      <c r="C761" s="41" t="n"/>
      <c r="D761" s="41" t="n"/>
      <c r="E761" s="70" t="n"/>
      <c r="F761" s="71" t="n"/>
      <c r="G761" s="72" t="n"/>
      <c r="H761" s="73" t="n"/>
      <c r="I761" s="74">
        <f>IF(OR(E761="",F761=""),"",E761*F761)</f>
        <v/>
      </c>
      <c r="J761" s="75">
        <f>IF(I761="","",IF(D761="Buy",I761+N(G761),IF(D761="Sell",I761-N(G761),IF(D761="Dividend",I761-N(G761),I761+N(G761)))))</f>
        <v/>
      </c>
      <c r="K761" s="76">
        <f>IF(B761="","",DATE(YEAR(B761),MONTH(B761),1))</f>
        <v/>
      </c>
      <c r="L761" s="77">
        <f>IF(B761="","",YEAR(B761))</f>
        <v/>
      </c>
    </row>
    <row r="762" ht="19" customHeight="1">
      <c r="A762" s="69">
        <f>IF(B762="","",ROW()-5)</f>
        <v/>
      </c>
      <c r="B762" s="43" t="n"/>
      <c r="C762" s="41" t="n"/>
      <c r="D762" s="41" t="n"/>
      <c r="E762" s="70" t="n"/>
      <c r="F762" s="71" t="n"/>
      <c r="G762" s="72" t="n"/>
      <c r="H762" s="73" t="n"/>
      <c r="I762" s="74">
        <f>IF(OR(E762="",F762=""),"",E762*F762)</f>
        <v/>
      </c>
      <c r="J762" s="75">
        <f>IF(I762="","",IF(D762="Buy",I762+N(G762),IF(D762="Sell",I762-N(G762),IF(D762="Dividend",I762-N(G762),I762+N(G762)))))</f>
        <v/>
      </c>
      <c r="K762" s="76">
        <f>IF(B762="","",DATE(YEAR(B762),MONTH(B762),1))</f>
        <v/>
      </c>
      <c r="L762" s="77">
        <f>IF(B762="","",YEAR(B762))</f>
        <v/>
      </c>
    </row>
    <row r="763" ht="19" customHeight="1">
      <c r="A763" s="69">
        <f>IF(B763="","",ROW()-5)</f>
        <v/>
      </c>
      <c r="B763" s="43" t="n"/>
      <c r="C763" s="41" t="n"/>
      <c r="D763" s="41" t="n"/>
      <c r="E763" s="70" t="n"/>
      <c r="F763" s="71" t="n"/>
      <c r="G763" s="72" t="n"/>
      <c r="H763" s="73" t="n"/>
      <c r="I763" s="74">
        <f>IF(OR(E763="",F763=""),"",E763*F763)</f>
        <v/>
      </c>
      <c r="J763" s="75">
        <f>IF(I763="","",IF(D763="Buy",I763+N(G763),IF(D763="Sell",I763-N(G763),IF(D763="Dividend",I763-N(G763),I763+N(G763)))))</f>
        <v/>
      </c>
      <c r="K763" s="76">
        <f>IF(B763="","",DATE(YEAR(B763),MONTH(B763),1))</f>
        <v/>
      </c>
      <c r="L763" s="77">
        <f>IF(B763="","",YEAR(B763))</f>
        <v/>
      </c>
    </row>
    <row r="764" ht="19" customHeight="1">
      <c r="A764" s="69">
        <f>IF(B764="","",ROW()-5)</f>
        <v/>
      </c>
      <c r="B764" s="43" t="n"/>
      <c r="C764" s="41" t="n"/>
      <c r="D764" s="41" t="n"/>
      <c r="E764" s="70" t="n"/>
      <c r="F764" s="71" t="n"/>
      <c r="G764" s="72" t="n"/>
      <c r="H764" s="73" t="n"/>
      <c r="I764" s="74">
        <f>IF(OR(E764="",F764=""),"",E764*F764)</f>
        <v/>
      </c>
      <c r="J764" s="75">
        <f>IF(I764="","",IF(D764="Buy",I764+N(G764),IF(D764="Sell",I764-N(G764),IF(D764="Dividend",I764-N(G764),I764+N(G764)))))</f>
        <v/>
      </c>
      <c r="K764" s="76">
        <f>IF(B764="","",DATE(YEAR(B764),MONTH(B764),1))</f>
        <v/>
      </c>
      <c r="L764" s="77">
        <f>IF(B764="","",YEAR(B764))</f>
        <v/>
      </c>
    </row>
    <row r="765" ht="19" customHeight="1">
      <c r="A765" s="69">
        <f>IF(B765="","",ROW()-5)</f>
        <v/>
      </c>
      <c r="B765" s="43" t="n"/>
      <c r="C765" s="41" t="n"/>
      <c r="D765" s="41" t="n"/>
      <c r="E765" s="70" t="n"/>
      <c r="F765" s="71" t="n"/>
      <c r="G765" s="72" t="n"/>
      <c r="H765" s="73" t="n"/>
      <c r="I765" s="74">
        <f>IF(OR(E765="",F765=""),"",E765*F765)</f>
        <v/>
      </c>
      <c r="J765" s="75">
        <f>IF(I765="","",IF(D765="Buy",I765+N(G765),IF(D765="Sell",I765-N(G765),IF(D765="Dividend",I765-N(G765),I765+N(G765)))))</f>
        <v/>
      </c>
      <c r="K765" s="76">
        <f>IF(B765="","",DATE(YEAR(B765),MONTH(B765),1))</f>
        <v/>
      </c>
      <c r="L765" s="77">
        <f>IF(B765="","",YEAR(B765))</f>
        <v/>
      </c>
    </row>
    <row r="766" ht="19" customHeight="1">
      <c r="A766" s="69">
        <f>IF(B766="","",ROW()-5)</f>
        <v/>
      </c>
      <c r="B766" s="43" t="n"/>
      <c r="C766" s="41" t="n"/>
      <c r="D766" s="41" t="n"/>
      <c r="E766" s="70" t="n"/>
      <c r="F766" s="71" t="n"/>
      <c r="G766" s="72" t="n"/>
      <c r="H766" s="73" t="n"/>
      <c r="I766" s="74">
        <f>IF(OR(E766="",F766=""),"",E766*F766)</f>
        <v/>
      </c>
      <c r="J766" s="75">
        <f>IF(I766="","",IF(D766="Buy",I766+N(G766),IF(D766="Sell",I766-N(G766),IF(D766="Dividend",I766-N(G766),I766+N(G766)))))</f>
        <v/>
      </c>
      <c r="K766" s="76">
        <f>IF(B766="","",DATE(YEAR(B766),MONTH(B766),1))</f>
        <v/>
      </c>
      <c r="L766" s="77">
        <f>IF(B766="","",YEAR(B766))</f>
        <v/>
      </c>
    </row>
    <row r="767" ht="19" customHeight="1">
      <c r="A767" s="69">
        <f>IF(B767="","",ROW()-5)</f>
        <v/>
      </c>
      <c r="B767" s="43" t="n"/>
      <c r="C767" s="41" t="n"/>
      <c r="D767" s="41" t="n"/>
      <c r="E767" s="70" t="n"/>
      <c r="F767" s="71" t="n"/>
      <c r="G767" s="72" t="n"/>
      <c r="H767" s="73" t="n"/>
      <c r="I767" s="74">
        <f>IF(OR(E767="",F767=""),"",E767*F767)</f>
        <v/>
      </c>
      <c r="J767" s="75">
        <f>IF(I767="","",IF(D767="Buy",I767+N(G767),IF(D767="Sell",I767-N(G767),IF(D767="Dividend",I767-N(G767),I767+N(G767)))))</f>
        <v/>
      </c>
      <c r="K767" s="76">
        <f>IF(B767="","",DATE(YEAR(B767),MONTH(B767),1))</f>
        <v/>
      </c>
      <c r="L767" s="77">
        <f>IF(B767="","",YEAR(B767))</f>
        <v/>
      </c>
    </row>
    <row r="768" ht="19" customHeight="1">
      <c r="A768" s="69">
        <f>IF(B768="","",ROW()-5)</f>
        <v/>
      </c>
      <c r="B768" s="43" t="n"/>
      <c r="C768" s="41" t="n"/>
      <c r="D768" s="41" t="n"/>
      <c r="E768" s="70" t="n"/>
      <c r="F768" s="71" t="n"/>
      <c r="G768" s="72" t="n"/>
      <c r="H768" s="73" t="n"/>
      <c r="I768" s="74">
        <f>IF(OR(E768="",F768=""),"",E768*F768)</f>
        <v/>
      </c>
      <c r="J768" s="75">
        <f>IF(I768="","",IF(D768="Buy",I768+N(G768),IF(D768="Sell",I768-N(G768),IF(D768="Dividend",I768-N(G768),I768+N(G768)))))</f>
        <v/>
      </c>
      <c r="K768" s="76">
        <f>IF(B768="","",DATE(YEAR(B768),MONTH(B768),1))</f>
        <v/>
      </c>
      <c r="L768" s="77">
        <f>IF(B768="","",YEAR(B768))</f>
        <v/>
      </c>
    </row>
    <row r="769" ht="19" customHeight="1">
      <c r="A769" s="69">
        <f>IF(B769="","",ROW()-5)</f>
        <v/>
      </c>
      <c r="B769" s="43" t="n"/>
      <c r="C769" s="41" t="n"/>
      <c r="D769" s="41" t="n"/>
      <c r="E769" s="70" t="n"/>
      <c r="F769" s="71" t="n"/>
      <c r="G769" s="72" t="n"/>
      <c r="H769" s="73" t="n"/>
      <c r="I769" s="74">
        <f>IF(OR(E769="",F769=""),"",E769*F769)</f>
        <v/>
      </c>
      <c r="J769" s="75">
        <f>IF(I769="","",IF(D769="Buy",I769+N(G769),IF(D769="Sell",I769-N(G769),IF(D769="Dividend",I769-N(G769),I769+N(G769)))))</f>
        <v/>
      </c>
      <c r="K769" s="76">
        <f>IF(B769="","",DATE(YEAR(B769),MONTH(B769),1))</f>
        <v/>
      </c>
      <c r="L769" s="77">
        <f>IF(B769="","",YEAR(B769))</f>
        <v/>
      </c>
    </row>
    <row r="770" ht="19" customHeight="1">
      <c r="A770" s="69">
        <f>IF(B770="","",ROW()-5)</f>
        <v/>
      </c>
      <c r="B770" s="43" t="n"/>
      <c r="C770" s="41" t="n"/>
      <c r="D770" s="41" t="n"/>
      <c r="E770" s="70" t="n"/>
      <c r="F770" s="71" t="n"/>
      <c r="G770" s="72" t="n"/>
      <c r="H770" s="73" t="n"/>
      <c r="I770" s="74">
        <f>IF(OR(E770="",F770=""),"",E770*F770)</f>
        <v/>
      </c>
      <c r="J770" s="75">
        <f>IF(I770="","",IF(D770="Buy",I770+N(G770),IF(D770="Sell",I770-N(G770),IF(D770="Dividend",I770-N(G770),I770+N(G770)))))</f>
        <v/>
      </c>
      <c r="K770" s="76">
        <f>IF(B770="","",DATE(YEAR(B770),MONTH(B770),1))</f>
        <v/>
      </c>
      <c r="L770" s="77">
        <f>IF(B770="","",YEAR(B770))</f>
        <v/>
      </c>
    </row>
    <row r="771" ht="19" customHeight="1">
      <c r="A771" s="69">
        <f>IF(B771="","",ROW()-5)</f>
        <v/>
      </c>
      <c r="B771" s="43" t="n"/>
      <c r="C771" s="41" t="n"/>
      <c r="D771" s="41" t="n"/>
      <c r="E771" s="70" t="n"/>
      <c r="F771" s="71" t="n"/>
      <c r="G771" s="72" t="n"/>
      <c r="H771" s="73" t="n"/>
      <c r="I771" s="74">
        <f>IF(OR(E771="",F771=""),"",E771*F771)</f>
        <v/>
      </c>
      <c r="J771" s="75">
        <f>IF(I771="","",IF(D771="Buy",I771+N(G771),IF(D771="Sell",I771-N(G771),IF(D771="Dividend",I771-N(G771),I771+N(G771)))))</f>
        <v/>
      </c>
      <c r="K771" s="76">
        <f>IF(B771="","",DATE(YEAR(B771),MONTH(B771),1))</f>
        <v/>
      </c>
      <c r="L771" s="77">
        <f>IF(B771="","",YEAR(B771))</f>
        <v/>
      </c>
    </row>
    <row r="772" ht="19" customHeight="1">
      <c r="A772" s="69">
        <f>IF(B772="","",ROW()-5)</f>
        <v/>
      </c>
      <c r="B772" s="43" t="n"/>
      <c r="C772" s="41" t="n"/>
      <c r="D772" s="41" t="n"/>
      <c r="E772" s="70" t="n"/>
      <c r="F772" s="71" t="n"/>
      <c r="G772" s="72" t="n"/>
      <c r="H772" s="73" t="n"/>
      <c r="I772" s="74">
        <f>IF(OR(E772="",F772=""),"",E772*F772)</f>
        <v/>
      </c>
      <c r="J772" s="75">
        <f>IF(I772="","",IF(D772="Buy",I772+N(G772),IF(D772="Sell",I772-N(G772),IF(D772="Dividend",I772-N(G772),I772+N(G772)))))</f>
        <v/>
      </c>
      <c r="K772" s="76">
        <f>IF(B772="","",DATE(YEAR(B772),MONTH(B772),1))</f>
        <v/>
      </c>
      <c r="L772" s="77">
        <f>IF(B772="","",YEAR(B772))</f>
        <v/>
      </c>
    </row>
    <row r="773" ht="19" customHeight="1">
      <c r="A773" s="69">
        <f>IF(B773="","",ROW()-5)</f>
        <v/>
      </c>
      <c r="B773" s="43" t="n"/>
      <c r="C773" s="41" t="n"/>
      <c r="D773" s="41" t="n"/>
      <c r="E773" s="70" t="n"/>
      <c r="F773" s="71" t="n"/>
      <c r="G773" s="72" t="n"/>
      <c r="H773" s="73" t="n"/>
      <c r="I773" s="74">
        <f>IF(OR(E773="",F773=""),"",E773*F773)</f>
        <v/>
      </c>
      <c r="J773" s="75">
        <f>IF(I773="","",IF(D773="Buy",I773+N(G773),IF(D773="Sell",I773-N(G773),IF(D773="Dividend",I773-N(G773),I773+N(G773)))))</f>
        <v/>
      </c>
      <c r="K773" s="76">
        <f>IF(B773="","",DATE(YEAR(B773),MONTH(B773),1))</f>
        <v/>
      </c>
      <c r="L773" s="77">
        <f>IF(B773="","",YEAR(B773))</f>
        <v/>
      </c>
    </row>
    <row r="774" ht="19" customHeight="1">
      <c r="A774" s="69">
        <f>IF(B774="","",ROW()-5)</f>
        <v/>
      </c>
      <c r="B774" s="43" t="n"/>
      <c r="C774" s="41" t="n"/>
      <c r="D774" s="41" t="n"/>
      <c r="E774" s="70" t="n"/>
      <c r="F774" s="71" t="n"/>
      <c r="G774" s="72" t="n"/>
      <c r="H774" s="73" t="n"/>
      <c r="I774" s="74">
        <f>IF(OR(E774="",F774=""),"",E774*F774)</f>
        <v/>
      </c>
      <c r="J774" s="75">
        <f>IF(I774="","",IF(D774="Buy",I774+N(G774),IF(D774="Sell",I774-N(G774),IF(D774="Dividend",I774-N(G774),I774+N(G774)))))</f>
        <v/>
      </c>
      <c r="K774" s="76">
        <f>IF(B774="","",DATE(YEAR(B774),MONTH(B774),1))</f>
        <v/>
      </c>
      <c r="L774" s="77">
        <f>IF(B774="","",YEAR(B774))</f>
        <v/>
      </c>
    </row>
    <row r="775" ht="19" customHeight="1">
      <c r="A775" s="69">
        <f>IF(B775="","",ROW()-5)</f>
        <v/>
      </c>
      <c r="B775" s="43" t="n"/>
      <c r="C775" s="41" t="n"/>
      <c r="D775" s="41" t="n"/>
      <c r="E775" s="70" t="n"/>
      <c r="F775" s="71" t="n"/>
      <c r="G775" s="72" t="n"/>
      <c r="H775" s="73" t="n"/>
      <c r="I775" s="74">
        <f>IF(OR(E775="",F775=""),"",E775*F775)</f>
        <v/>
      </c>
      <c r="J775" s="75">
        <f>IF(I775="","",IF(D775="Buy",I775+N(G775),IF(D775="Sell",I775-N(G775),IF(D775="Dividend",I775-N(G775),I775+N(G775)))))</f>
        <v/>
      </c>
      <c r="K775" s="76">
        <f>IF(B775="","",DATE(YEAR(B775),MONTH(B775),1))</f>
        <v/>
      </c>
      <c r="L775" s="77">
        <f>IF(B775="","",YEAR(B775))</f>
        <v/>
      </c>
    </row>
    <row r="776" ht="19" customHeight="1">
      <c r="A776" s="69">
        <f>IF(B776="","",ROW()-5)</f>
        <v/>
      </c>
      <c r="B776" s="43" t="n"/>
      <c r="C776" s="41" t="n"/>
      <c r="D776" s="41" t="n"/>
      <c r="E776" s="70" t="n"/>
      <c r="F776" s="71" t="n"/>
      <c r="G776" s="72" t="n"/>
      <c r="H776" s="73" t="n"/>
      <c r="I776" s="74">
        <f>IF(OR(E776="",F776=""),"",E776*F776)</f>
        <v/>
      </c>
      <c r="J776" s="75">
        <f>IF(I776="","",IF(D776="Buy",I776+N(G776),IF(D776="Sell",I776-N(G776),IF(D776="Dividend",I776-N(G776),I776+N(G776)))))</f>
        <v/>
      </c>
      <c r="K776" s="76">
        <f>IF(B776="","",DATE(YEAR(B776),MONTH(B776),1))</f>
        <v/>
      </c>
      <c r="L776" s="77">
        <f>IF(B776="","",YEAR(B776))</f>
        <v/>
      </c>
    </row>
    <row r="777" ht="19" customHeight="1">
      <c r="A777" s="69">
        <f>IF(B777="","",ROW()-5)</f>
        <v/>
      </c>
      <c r="B777" s="43" t="n"/>
      <c r="C777" s="41" t="n"/>
      <c r="D777" s="41" t="n"/>
      <c r="E777" s="70" t="n"/>
      <c r="F777" s="71" t="n"/>
      <c r="G777" s="72" t="n"/>
      <c r="H777" s="73" t="n"/>
      <c r="I777" s="74">
        <f>IF(OR(E777="",F777=""),"",E777*F777)</f>
        <v/>
      </c>
      <c r="J777" s="75">
        <f>IF(I777="","",IF(D777="Buy",I777+N(G777),IF(D777="Sell",I777-N(G777),IF(D777="Dividend",I777-N(G777),I777+N(G777)))))</f>
        <v/>
      </c>
      <c r="K777" s="76">
        <f>IF(B777="","",DATE(YEAR(B777),MONTH(B777),1))</f>
        <v/>
      </c>
      <c r="L777" s="77">
        <f>IF(B777="","",YEAR(B777))</f>
        <v/>
      </c>
    </row>
    <row r="778" ht="19" customHeight="1">
      <c r="A778" s="69">
        <f>IF(B778="","",ROW()-5)</f>
        <v/>
      </c>
      <c r="B778" s="43" t="n"/>
      <c r="C778" s="41" t="n"/>
      <c r="D778" s="41" t="n"/>
      <c r="E778" s="70" t="n"/>
      <c r="F778" s="71" t="n"/>
      <c r="G778" s="72" t="n"/>
      <c r="H778" s="73" t="n"/>
      <c r="I778" s="74">
        <f>IF(OR(E778="",F778=""),"",E778*F778)</f>
        <v/>
      </c>
      <c r="J778" s="75">
        <f>IF(I778="","",IF(D778="Buy",I778+N(G778),IF(D778="Sell",I778-N(G778),IF(D778="Dividend",I778-N(G778),I778+N(G778)))))</f>
        <v/>
      </c>
      <c r="K778" s="76">
        <f>IF(B778="","",DATE(YEAR(B778),MONTH(B778),1))</f>
        <v/>
      </c>
      <c r="L778" s="77">
        <f>IF(B778="","",YEAR(B778))</f>
        <v/>
      </c>
    </row>
    <row r="779" ht="19" customHeight="1">
      <c r="A779" s="69">
        <f>IF(B779="","",ROW()-5)</f>
        <v/>
      </c>
      <c r="B779" s="43" t="n"/>
      <c r="C779" s="41" t="n"/>
      <c r="D779" s="41" t="n"/>
      <c r="E779" s="70" t="n"/>
      <c r="F779" s="71" t="n"/>
      <c r="G779" s="72" t="n"/>
      <c r="H779" s="73" t="n"/>
      <c r="I779" s="74">
        <f>IF(OR(E779="",F779=""),"",E779*F779)</f>
        <v/>
      </c>
      <c r="J779" s="75">
        <f>IF(I779="","",IF(D779="Buy",I779+N(G779),IF(D779="Sell",I779-N(G779),IF(D779="Dividend",I779-N(G779),I779+N(G779)))))</f>
        <v/>
      </c>
      <c r="K779" s="76">
        <f>IF(B779="","",DATE(YEAR(B779),MONTH(B779),1))</f>
        <v/>
      </c>
      <c r="L779" s="77">
        <f>IF(B779="","",YEAR(B779))</f>
        <v/>
      </c>
    </row>
    <row r="780" ht="19" customHeight="1">
      <c r="A780" s="69">
        <f>IF(B780="","",ROW()-5)</f>
        <v/>
      </c>
      <c r="B780" s="43" t="n"/>
      <c r="C780" s="41" t="n"/>
      <c r="D780" s="41" t="n"/>
      <c r="E780" s="70" t="n"/>
      <c r="F780" s="71" t="n"/>
      <c r="G780" s="72" t="n"/>
      <c r="H780" s="73" t="n"/>
      <c r="I780" s="74">
        <f>IF(OR(E780="",F780=""),"",E780*F780)</f>
        <v/>
      </c>
      <c r="J780" s="75">
        <f>IF(I780="","",IF(D780="Buy",I780+N(G780),IF(D780="Sell",I780-N(G780),IF(D780="Dividend",I780-N(G780),I780+N(G780)))))</f>
        <v/>
      </c>
      <c r="K780" s="76">
        <f>IF(B780="","",DATE(YEAR(B780),MONTH(B780),1))</f>
        <v/>
      </c>
      <c r="L780" s="77">
        <f>IF(B780="","",YEAR(B780))</f>
        <v/>
      </c>
    </row>
    <row r="781" ht="19" customHeight="1">
      <c r="A781" s="69">
        <f>IF(B781="","",ROW()-5)</f>
        <v/>
      </c>
      <c r="B781" s="43" t="n"/>
      <c r="C781" s="41" t="n"/>
      <c r="D781" s="41" t="n"/>
      <c r="E781" s="70" t="n"/>
      <c r="F781" s="71" t="n"/>
      <c r="G781" s="72" t="n"/>
      <c r="H781" s="73" t="n"/>
      <c r="I781" s="74">
        <f>IF(OR(E781="",F781=""),"",E781*F781)</f>
        <v/>
      </c>
      <c r="J781" s="75">
        <f>IF(I781="","",IF(D781="Buy",I781+N(G781),IF(D781="Sell",I781-N(G781),IF(D781="Dividend",I781-N(G781),I781+N(G781)))))</f>
        <v/>
      </c>
      <c r="K781" s="76">
        <f>IF(B781="","",DATE(YEAR(B781),MONTH(B781),1))</f>
        <v/>
      </c>
      <c r="L781" s="77">
        <f>IF(B781="","",YEAR(B781))</f>
        <v/>
      </c>
    </row>
    <row r="782" ht="19" customHeight="1">
      <c r="A782" s="69">
        <f>IF(B782="","",ROW()-5)</f>
        <v/>
      </c>
      <c r="B782" s="43" t="n"/>
      <c r="C782" s="41" t="n"/>
      <c r="D782" s="41" t="n"/>
      <c r="E782" s="70" t="n"/>
      <c r="F782" s="71" t="n"/>
      <c r="G782" s="72" t="n"/>
      <c r="H782" s="73" t="n"/>
      <c r="I782" s="74">
        <f>IF(OR(E782="",F782=""),"",E782*F782)</f>
        <v/>
      </c>
      <c r="J782" s="75">
        <f>IF(I782="","",IF(D782="Buy",I782+N(G782),IF(D782="Sell",I782-N(G782),IF(D782="Dividend",I782-N(G782),I782+N(G782)))))</f>
        <v/>
      </c>
      <c r="K782" s="76">
        <f>IF(B782="","",DATE(YEAR(B782),MONTH(B782),1))</f>
        <v/>
      </c>
      <c r="L782" s="77">
        <f>IF(B782="","",YEAR(B782))</f>
        <v/>
      </c>
    </row>
    <row r="783" ht="19" customHeight="1">
      <c r="A783" s="69">
        <f>IF(B783="","",ROW()-5)</f>
        <v/>
      </c>
      <c r="B783" s="43" t="n"/>
      <c r="C783" s="41" t="n"/>
      <c r="D783" s="41" t="n"/>
      <c r="E783" s="70" t="n"/>
      <c r="F783" s="71" t="n"/>
      <c r="G783" s="72" t="n"/>
      <c r="H783" s="73" t="n"/>
      <c r="I783" s="74">
        <f>IF(OR(E783="",F783=""),"",E783*F783)</f>
        <v/>
      </c>
      <c r="J783" s="75">
        <f>IF(I783="","",IF(D783="Buy",I783+N(G783),IF(D783="Sell",I783-N(G783),IF(D783="Dividend",I783-N(G783),I783+N(G783)))))</f>
        <v/>
      </c>
      <c r="K783" s="76">
        <f>IF(B783="","",DATE(YEAR(B783),MONTH(B783),1))</f>
        <v/>
      </c>
      <c r="L783" s="77">
        <f>IF(B783="","",YEAR(B783))</f>
        <v/>
      </c>
    </row>
    <row r="784" ht="19" customHeight="1">
      <c r="A784" s="69">
        <f>IF(B784="","",ROW()-5)</f>
        <v/>
      </c>
      <c r="B784" s="43" t="n"/>
      <c r="C784" s="41" t="n"/>
      <c r="D784" s="41" t="n"/>
      <c r="E784" s="70" t="n"/>
      <c r="F784" s="71" t="n"/>
      <c r="G784" s="72" t="n"/>
      <c r="H784" s="73" t="n"/>
      <c r="I784" s="74">
        <f>IF(OR(E784="",F784=""),"",E784*F784)</f>
        <v/>
      </c>
      <c r="J784" s="75">
        <f>IF(I784="","",IF(D784="Buy",I784+N(G784),IF(D784="Sell",I784-N(G784),IF(D784="Dividend",I784-N(G784),I784+N(G784)))))</f>
        <v/>
      </c>
      <c r="K784" s="76">
        <f>IF(B784="","",DATE(YEAR(B784),MONTH(B784),1))</f>
        <v/>
      </c>
      <c r="L784" s="77">
        <f>IF(B784="","",YEAR(B784))</f>
        <v/>
      </c>
    </row>
    <row r="785" ht="19" customHeight="1">
      <c r="A785" s="69">
        <f>IF(B785="","",ROW()-5)</f>
        <v/>
      </c>
      <c r="B785" s="43" t="n"/>
      <c r="C785" s="41" t="n"/>
      <c r="D785" s="41" t="n"/>
      <c r="E785" s="70" t="n"/>
      <c r="F785" s="71" t="n"/>
      <c r="G785" s="72" t="n"/>
      <c r="H785" s="73" t="n"/>
      <c r="I785" s="74">
        <f>IF(OR(E785="",F785=""),"",E785*F785)</f>
        <v/>
      </c>
      <c r="J785" s="75">
        <f>IF(I785="","",IF(D785="Buy",I785+N(G785),IF(D785="Sell",I785-N(G785),IF(D785="Dividend",I785-N(G785),I785+N(G785)))))</f>
        <v/>
      </c>
      <c r="K785" s="76">
        <f>IF(B785="","",DATE(YEAR(B785),MONTH(B785),1))</f>
        <v/>
      </c>
      <c r="L785" s="77">
        <f>IF(B785="","",YEAR(B785))</f>
        <v/>
      </c>
    </row>
    <row r="786" ht="19" customHeight="1">
      <c r="A786" s="69">
        <f>IF(B786="","",ROW()-5)</f>
        <v/>
      </c>
      <c r="B786" s="43" t="n"/>
      <c r="C786" s="41" t="n"/>
      <c r="D786" s="41" t="n"/>
      <c r="E786" s="70" t="n"/>
      <c r="F786" s="71" t="n"/>
      <c r="G786" s="72" t="n"/>
      <c r="H786" s="73" t="n"/>
      <c r="I786" s="74">
        <f>IF(OR(E786="",F786=""),"",E786*F786)</f>
        <v/>
      </c>
      <c r="J786" s="75">
        <f>IF(I786="","",IF(D786="Buy",I786+N(G786),IF(D786="Sell",I786-N(G786),IF(D786="Dividend",I786-N(G786),I786+N(G786)))))</f>
        <v/>
      </c>
      <c r="K786" s="76">
        <f>IF(B786="","",DATE(YEAR(B786),MONTH(B786),1))</f>
        <v/>
      </c>
      <c r="L786" s="77">
        <f>IF(B786="","",YEAR(B786))</f>
        <v/>
      </c>
    </row>
    <row r="787" ht="19" customHeight="1">
      <c r="A787" s="69">
        <f>IF(B787="","",ROW()-5)</f>
        <v/>
      </c>
      <c r="B787" s="43" t="n"/>
      <c r="C787" s="41" t="n"/>
      <c r="D787" s="41" t="n"/>
      <c r="E787" s="70" t="n"/>
      <c r="F787" s="71" t="n"/>
      <c r="G787" s="72" t="n"/>
      <c r="H787" s="73" t="n"/>
      <c r="I787" s="74">
        <f>IF(OR(E787="",F787=""),"",E787*F787)</f>
        <v/>
      </c>
      <c r="J787" s="75">
        <f>IF(I787="","",IF(D787="Buy",I787+N(G787),IF(D787="Sell",I787-N(G787),IF(D787="Dividend",I787-N(G787),I787+N(G787)))))</f>
        <v/>
      </c>
      <c r="K787" s="76">
        <f>IF(B787="","",DATE(YEAR(B787),MONTH(B787),1))</f>
        <v/>
      </c>
      <c r="L787" s="77">
        <f>IF(B787="","",YEAR(B787))</f>
        <v/>
      </c>
    </row>
    <row r="788" ht="19" customHeight="1">
      <c r="A788" s="69">
        <f>IF(B788="","",ROW()-5)</f>
        <v/>
      </c>
      <c r="B788" s="43" t="n"/>
      <c r="C788" s="41" t="n"/>
      <c r="D788" s="41" t="n"/>
      <c r="E788" s="70" t="n"/>
      <c r="F788" s="71" t="n"/>
      <c r="G788" s="72" t="n"/>
      <c r="H788" s="73" t="n"/>
      <c r="I788" s="74">
        <f>IF(OR(E788="",F788=""),"",E788*F788)</f>
        <v/>
      </c>
      <c r="J788" s="75">
        <f>IF(I788="","",IF(D788="Buy",I788+N(G788),IF(D788="Sell",I788-N(G788),IF(D788="Dividend",I788-N(G788),I788+N(G788)))))</f>
        <v/>
      </c>
      <c r="K788" s="76">
        <f>IF(B788="","",DATE(YEAR(B788),MONTH(B788),1))</f>
        <v/>
      </c>
      <c r="L788" s="77">
        <f>IF(B788="","",YEAR(B788))</f>
        <v/>
      </c>
    </row>
    <row r="789" ht="19" customHeight="1">
      <c r="A789" s="69">
        <f>IF(B789="","",ROW()-5)</f>
        <v/>
      </c>
      <c r="B789" s="43" t="n"/>
      <c r="C789" s="41" t="n"/>
      <c r="D789" s="41" t="n"/>
      <c r="E789" s="70" t="n"/>
      <c r="F789" s="71" t="n"/>
      <c r="G789" s="72" t="n"/>
      <c r="H789" s="73" t="n"/>
      <c r="I789" s="74">
        <f>IF(OR(E789="",F789=""),"",E789*F789)</f>
        <v/>
      </c>
      <c r="J789" s="75">
        <f>IF(I789="","",IF(D789="Buy",I789+N(G789),IF(D789="Sell",I789-N(G789),IF(D789="Dividend",I789-N(G789),I789+N(G789)))))</f>
        <v/>
      </c>
      <c r="K789" s="76">
        <f>IF(B789="","",DATE(YEAR(B789),MONTH(B789),1))</f>
        <v/>
      </c>
      <c r="L789" s="77">
        <f>IF(B789="","",YEAR(B789))</f>
        <v/>
      </c>
    </row>
    <row r="790" ht="19" customHeight="1">
      <c r="A790" s="69">
        <f>IF(B790="","",ROW()-5)</f>
        <v/>
      </c>
      <c r="B790" s="43" t="n"/>
      <c r="C790" s="41" t="n"/>
      <c r="D790" s="41" t="n"/>
      <c r="E790" s="70" t="n"/>
      <c r="F790" s="71" t="n"/>
      <c r="G790" s="72" t="n"/>
      <c r="H790" s="73" t="n"/>
      <c r="I790" s="74">
        <f>IF(OR(E790="",F790=""),"",E790*F790)</f>
        <v/>
      </c>
      <c r="J790" s="75">
        <f>IF(I790="","",IF(D790="Buy",I790+N(G790),IF(D790="Sell",I790-N(G790),IF(D790="Dividend",I790-N(G790),I790+N(G790)))))</f>
        <v/>
      </c>
      <c r="K790" s="76">
        <f>IF(B790="","",DATE(YEAR(B790),MONTH(B790),1))</f>
        <v/>
      </c>
      <c r="L790" s="77">
        <f>IF(B790="","",YEAR(B790))</f>
        <v/>
      </c>
    </row>
    <row r="791" ht="19" customHeight="1">
      <c r="A791" s="69">
        <f>IF(B791="","",ROW()-5)</f>
        <v/>
      </c>
      <c r="B791" s="43" t="n"/>
      <c r="C791" s="41" t="n"/>
      <c r="D791" s="41" t="n"/>
      <c r="E791" s="70" t="n"/>
      <c r="F791" s="71" t="n"/>
      <c r="G791" s="72" t="n"/>
      <c r="H791" s="73" t="n"/>
      <c r="I791" s="74">
        <f>IF(OR(E791="",F791=""),"",E791*F791)</f>
        <v/>
      </c>
      <c r="J791" s="75">
        <f>IF(I791="","",IF(D791="Buy",I791+N(G791),IF(D791="Sell",I791-N(G791),IF(D791="Dividend",I791-N(G791),I791+N(G791)))))</f>
        <v/>
      </c>
      <c r="K791" s="76">
        <f>IF(B791="","",DATE(YEAR(B791),MONTH(B791),1))</f>
        <v/>
      </c>
      <c r="L791" s="77">
        <f>IF(B791="","",YEAR(B791))</f>
        <v/>
      </c>
    </row>
    <row r="792" ht="19" customHeight="1">
      <c r="A792" s="69">
        <f>IF(B792="","",ROW()-5)</f>
        <v/>
      </c>
      <c r="B792" s="43" t="n"/>
      <c r="C792" s="41" t="n"/>
      <c r="D792" s="41" t="n"/>
      <c r="E792" s="70" t="n"/>
      <c r="F792" s="71" t="n"/>
      <c r="G792" s="72" t="n"/>
      <c r="H792" s="73" t="n"/>
      <c r="I792" s="74">
        <f>IF(OR(E792="",F792=""),"",E792*F792)</f>
        <v/>
      </c>
      <c r="J792" s="75">
        <f>IF(I792="","",IF(D792="Buy",I792+N(G792),IF(D792="Sell",I792-N(G792),IF(D792="Dividend",I792-N(G792),I792+N(G792)))))</f>
        <v/>
      </c>
      <c r="K792" s="76">
        <f>IF(B792="","",DATE(YEAR(B792),MONTH(B792),1))</f>
        <v/>
      </c>
      <c r="L792" s="77">
        <f>IF(B792="","",YEAR(B792))</f>
        <v/>
      </c>
    </row>
    <row r="793" ht="19" customHeight="1">
      <c r="A793" s="69">
        <f>IF(B793="","",ROW()-5)</f>
        <v/>
      </c>
      <c r="B793" s="43" t="n"/>
      <c r="C793" s="41" t="n"/>
      <c r="D793" s="41" t="n"/>
      <c r="E793" s="70" t="n"/>
      <c r="F793" s="71" t="n"/>
      <c r="G793" s="72" t="n"/>
      <c r="H793" s="73" t="n"/>
      <c r="I793" s="74">
        <f>IF(OR(E793="",F793=""),"",E793*F793)</f>
        <v/>
      </c>
      <c r="J793" s="75">
        <f>IF(I793="","",IF(D793="Buy",I793+N(G793),IF(D793="Sell",I793-N(G793),IF(D793="Dividend",I793-N(G793),I793+N(G793)))))</f>
        <v/>
      </c>
      <c r="K793" s="76">
        <f>IF(B793="","",DATE(YEAR(B793),MONTH(B793),1))</f>
        <v/>
      </c>
      <c r="L793" s="77">
        <f>IF(B793="","",YEAR(B793))</f>
        <v/>
      </c>
    </row>
    <row r="794" ht="19" customHeight="1">
      <c r="A794" s="69">
        <f>IF(B794="","",ROW()-5)</f>
        <v/>
      </c>
      <c r="B794" s="43" t="n"/>
      <c r="C794" s="41" t="n"/>
      <c r="D794" s="41" t="n"/>
      <c r="E794" s="70" t="n"/>
      <c r="F794" s="71" t="n"/>
      <c r="G794" s="72" t="n"/>
      <c r="H794" s="73" t="n"/>
      <c r="I794" s="74">
        <f>IF(OR(E794="",F794=""),"",E794*F794)</f>
        <v/>
      </c>
      <c r="J794" s="75">
        <f>IF(I794="","",IF(D794="Buy",I794+N(G794),IF(D794="Sell",I794-N(G794),IF(D794="Dividend",I794-N(G794),I794+N(G794)))))</f>
        <v/>
      </c>
      <c r="K794" s="76">
        <f>IF(B794="","",DATE(YEAR(B794),MONTH(B794),1))</f>
        <v/>
      </c>
      <c r="L794" s="77">
        <f>IF(B794="","",YEAR(B794))</f>
        <v/>
      </c>
    </row>
    <row r="795" ht="19" customHeight="1">
      <c r="A795" s="69">
        <f>IF(B795="","",ROW()-5)</f>
        <v/>
      </c>
      <c r="B795" s="43" t="n"/>
      <c r="C795" s="41" t="n"/>
      <c r="D795" s="41" t="n"/>
      <c r="E795" s="70" t="n"/>
      <c r="F795" s="71" t="n"/>
      <c r="G795" s="72" t="n"/>
      <c r="H795" s="73" t="n"/>
      <c r="I795" s="74">
        <f>IF(OR(E795="",F795=""),"",E795*F795)</f>
        <v/>
      </c>
      <c r="J795" s="75">
        <f>IF(I795="","",IF(D795="Buy",I795+N(G795),IF(D795="Sell",I795-N(G795),IF(D795="Dividend",I795-N(G795),I795+N(G795)))))</f>
        <v/>
      </c>
      <c r="K795" s="76">
        <f>IF(B795="","",DATE(YEAR(B795),MONTH(B795),1))</f>
        <v/>
      </c>
      <c r="L795" s="77">
        <f>IF(B795="","",YEAR(B795))</f>
        <v/>
      </c>
    </row>
    <row r="796" ht="19" customHeight="1">
      <c r="A796" s="69">
        <f>IF(B796="","",ROW()-5)</f>
        <v/>
      </c>
      <c r="B796" s="43" t="n"/>
      <c r="C796" s="41" t="n"/>
      <c r="D796" s="41" t="n"/>
      <c r="E796" s="70" t="n"/>
      <c r="F796" s="71" t="n"/>
      <c r="G796" s="72" t="n"/>
      <c r="H796" s="73" t="n"/>
      <c r="I796" s="74">
        <f>IF(OR(E796="",F796=""),"",E796*F796)</f>
        <v/>
      </c>
      <c r="J796" s="75">
        <f>IF(I796="","",IF(D796="Buy",I796+N(G796),IF(D796="Sell",I796-N(G796),IF(D796="Dividend",I796-N(G796),I796+N(G796)))))</f>
        <v/>
      </c>
      <c r="K796" s="76">
        <f>IF(B796="","",DATE(YEAR(B796),MONTH(B796),1))</f>
        <v/>
      </c>
      <c r="L796" s="77">
        <f>IF(B796="","",YEAR(B796))</f>
        <v/>
      </c>
    </row>
    <row r="797" ht="19" customHeight="1">
      <c r="A797" s="69">
        <f>IF(B797="","",ROW()-5)</f>
        <v/>
      </c>
      <c r="B797" s="43" t="n"/>
      <c r="C797" s="41" t="n"/>
      <c r="D797" s="41" t="n"/>
      <c r="E797" s="70" t="n"/>
      <c r="F797" s="71" t="n"/>
      <c r="G797" s="72" t="n"/>
      <c r="H797" s="73" t="n"/>
      <c r="I797" s="74">
        <f>IF(OR(E797="",F797=""),"",E797*F797)</f>
        <v/>
      </c>
      <c r="J797" s="75">
        <f>IF(I797="","",IF(D797="Buy",I797+N(G797),IF(D797="Sell",I797-N(G797),IF(D797="Dividend",I797-N(G797),I797+N(G797)))))</f>
        <v/>
      </c>
      <c r="K797" s="76">
        <f>IF(B797="","",DATE(YEAR(B797),MONTH(B797),1))</f>
        <v/>
      </c>
      <c r="L797" s="77">
        <f>IF(B797="","",YEAR(B797))</f>
        <v/>
      </c>
    </row>
    <row r="798" ht="19" customHeight="1">
      <c r="A798" s="69">
        <f>IF(B798="","",ROW()-5)</f>
        <v/>
      </c>
      <c r="B798" s="43" t="n"/>
      <c r="C798" s="41" t="n"/>
      <c r="D798" s="41" t="n"/>
      <c r="E798" s="70" t="n"/>
      <c r="F798" s="71" t="n"/>
      <c r="G798" s="72" t="n"/>
      <c r="H798" s="73" t="n"/>
      <c r="I798" s="74">
        <f>IF(OR(E798="",F798=""),"",E798*F798)</f>
        <v/>
      </c>
      <c r="J798" s="75">
        <f>IF(I798="","",IF(D798="Buy",I798+N(G798),IF(D798="Sell",I798-N(G798),IF(D798="Dividend",I798-N(G798),I798+N(G798)))))</f>
        <v/>
      </c>
      <c r="K798" s="76">
        <f>IF(B798="","",DATE(YEAR(B798),MONTH(B798),1))</f>
        <v/>
      </c>
      <c r="L798" s="77">
        <f>IF(B798="","",YEAR(B798))</f>
        <v/>
      </c>
    </row>
    <row r="799" ht="19" customHeight="1">
      <c r="A799" s="69">
        <f>IF(B799="","",ROW()-5)</f>
        <v/>
      </c>
      <c r="B799" s="43" t="n"/>
      <c r="C799" s="41" t="n"/>
      <c r="D799" s="41" t="n"/>
      <c r="E799" s="70" t="n"/>
      <c r="F799" s="71" t="n"/>
      <c r="G799" s="72" t="n"/>
      <c r="H799" s="73" t="n"/>
      <c r="I799" s="74">
        <f>IF(OR(E799="",F799=""),"",E799*F799)</f>
        <v/>
      </c>
      <c r="J799" s="75">
        <f>IF(I799="","",IF(D799="Buy",I799+N(G799),IF(D799="Sell",I799-N(G799),IF(D799="Dividend",I799-N(G799),I799+N(G799)))))</f>
        <v/>
      </c>
      <c r="K799" s="76">
        <f>IF(B799="","",DATE(YEAR(B799),MONTH(B799),1))</f>
        <v/>
      </c>
      <c r="L799" s="77">
        <f>IF(B799="","",YEAR(B799))</f>
        <v/>
      </c>
    </row>
    <row r="800" ht="19" customHeight="1">
      <c r="A800" s="69">
        <f>IF(B800="","",ROW()-5)</f>
        <v/>
      </c>
      <c r="B800" s="43" t="n"/>
      <c r="C800" s="41" t="n"/>
      <c r="D800" s="41" t="n"/>
      <c r="E800" s="70" t="n"/>
      <c r="F800" s="71" t="n"/>
      <c r="G800" s="72" t="n"/>
      <c r="H800" s="73" t="n"/>
      <c r="I800" s="74">
        <f>IF(OR(E800="",F800=""),"",E800*F800)</f>
        <v/>
      </c>
      <c r="J800" s="75">
        <f>IF(I800="","",IF(D800="Buy",I800+N(G800),IF(D800="Sell",I800-N(G800),IF(D800="Dividend",I800-N(G800),I800+N(G800)))))</f>
        <v/>
      </c>
      <c r="K800" s="76">
        <f>IF(B800="","",DATE(YEAR(B800),MONTH(B800),1))</f>
        <v/>
      </c>
      <c r="L800" s="77">
        <f>IF(B800="","",YEAR(B800))</f>
        <v/>
      </c>
    </row>
    <row r="801" ht="19" customHeight="1">
      <c r="A801" s="69">
        <f>IF(B801="","",ROW()-5)</f>
        <v/>
      </c>
      <c r="B801" s="43" t="n"/>
      <c r="C801" s="41" t="n"/>
      <c r="D801" s="41" t="n"/>
      <c r="E801" s="70" t="n"/>
      <c r="F801" s="71" t="n"/>
      <c r="G801" s="72" t="n"/>
      <c r="H801" s="73" t="n"/>
      <c r="I801" s="74">
        <f>IF(OR(E801="",F801=""),"",E801*F801)</f>
        <v/>
      </c>
      <c r="J801" s="75">
        <f>IF(I801="","",IF(D801="Buy",I801+N(G801),IF(D801="Sell",I801-N(G801),IF(D801="Dividend",I801-N(G801),I801+N(G801)))))</f>
        <v/>
      </c>
      <c r="K801" s="76">
        <f>IF(B801="","",DATE(YEAR(B801),MONTH(B801),1))</f>
        <v/>
      </c>
      <c r="L801" s="77">
        <f>IF(B801="","",YEAR(B801))</f>
        <v/>
      </c>
    </row>
    <row r="802" ht="19" customHeight="1">
      <c r="A802" s="69">
        <f>IF(B802="","",ROW()-5)</f>
        <v/>
      </c>
      <c r="B802" s="43" t="n"/>
      <c r="C802" s="41" t="n"/>
      <c r="D802" s="41" t="n"/>
      <c r="E802" s="70" t="n"/>
      <c r="F802" s="71" t="n"/>
      <c r="G802" s="72" t="n"/>
      <c r="H802" s="73" t="n"/>
      <c r="I802" s="74">
        <f>IF(OR(E802="",F802=""),"",E802*F802)</f>
        <v/>
      </c>
      <c r="J802" s="75">
        <f>IF(I802="","",IF(D802="Buy",I802+N(G802),IF(D802="Sell",I802-N(G802),IF(D802="Dividend",I802-N(G802),I802+N(G802)))))</f>
        <v/>
      </c>
      <c r="K802" s="76">
        <f>IF(B802="","",DATE(YEAR(B802),MONTH(B802),1))</f>
        <v/>
      </c>
      <c r="L802" s="77">
        <f>IF(B802="","",YEAR(B802))</f>
        <v/>
      </c>
    </row>
    <row r="803" ht="19" customHeight="1">
      <c r="A803" s="69">
        <f>IF(B803="","",ROW()-5)</f>
        <v/>
      </c>
      <c r="B803" s="43" t="n"/>
      <c r="C803" s="41" t="n"/>
      <c r="D803" s="41" t="n"/>
      <c r="E803" s="70" t="n"/>
      <c r="F803" s="71" t="n"/>
      <c r="G803" s="72" t="n"/>
      <c r="H803" s="73" t="n"/>
      <c r="I803" s="74">
        <f>IF(OR(E803="",F803=""),"",E803*F803)</f>
        <v/>
      </c>
      <c r="J803" s="75">
        <f>IF(I803="","",IF(D803="Buy",I803+N(G803),IF(D803="Sell",I803-N(G803),IF(D803="Dividend",I803-N(G803),I803+N(G803)))))</f>
        <v/>
      </c>
      <c r="K803" s="76">
        <f>IF(B803="","",DATE(YEAR(B803),MONTH(B803),1))</f>
        <v/>
      </c>
      <c r="L803" s="77">
        <f>IF(B803="","",YEAR(B803))</f>
        <v/>
      </c>
    </row>
    <row r="804" ht="19" customHeight="1">
      <c r="A804" s="69">
        <f>IF(B804="","",ROW()-5)</f>
        <v/>
      </c>
      <c r="B804" s="43" t="n"/>
      <c r="C804" s="41" t="n"/>
      <c r="D804" s="41" t="n"/>
      <c r="E804" s="70" t="n"/>
      <c r="F804" s="71" t="n"/>
      <c r="G804" s="72" t="n"/>
      <c r="H804" s="73" t="n"/>
      <c r="I804" s="74">
        <f>IF(OR(E804="",F804=""),"",E804*F804)</f>
        <v/>
      </c>
      <c r="J804" s="75">
        <f>IF(I804="","",IF(D804="Buy",I804+N(G804),IF(D804="Sell",I804-N(G804),IF(D804="Dividend",I804-N(G804),I804+N(G804)))))</f>
        <v/>
      </c>
      <c r="K804" s="76">
        <f>IF(B804="","",DATE(YEAR(B804),MONTH(B804),1))</f>
        <v/>
      </c>
      <c r="L804" s="77">
        <f>IF(B804="","",YEAR(B804))</f>
        <v/>
      </c>
    </row>
    <row r="805" ht="19" customHeight="1">
      <c r="A805" s="69">
        <f>IF(B805="","",ROW()-5)</f>
        <v/>
      </c>
      <c r="B805" s="43" t="n"/>
      <c r="C805" s="41" t="n"/>
      <c r="D805" s="41" t="n"/>
      <c r="E805" s="70" t="n"/>
      <c r="F805" s="71" t="n"/>
      <c r="G805" s="72" t="n"/>
      <c r="H805" s="73" t="n"/>
      <c r="I805" s="74">
        <f>IF(OR(E805="",F805=""),"",E805*F805)</f>
        <v/>
      </c>
      <c r="J805" s="75">
        <f>IF(I805="","",IF(D805="Buy",I805+N(G805),IF(D805="Sell",I805-N(G805),IF(D805="Dividend",I805-N(G805),I805+N(G805)))))</f>
        <v/>
      </c>
      <c r="K805" s="76">
        <f>IF(B805="","",DATE(YEAR(B805),MONTH(B805),1))</f>
        <v/>
      </c>
      <c r="L805" s="77">
        <f>IF(B805="","",YEAR(B805))</f>
        <v/>
      </c>
    </row>
    <row r="806" ht="19" customHeight="1">
      <c r="A806" s="69">
        <f>IF(B806="","",ROW()-5)</f>
        <v/>
      </c>
      <c r="B806" s="43" t="n"/>
      <c r="C806" s="41" t="n"/>
      <c r="D806" s="41" t="n"/>
      <c r="E806" s="70" t="n"/>
      <c r="F806" s="71" t="n"/>
      <c r="G806" s="72" t="n"/>
      <c r="H806" s="73" t="n"/>
      <c r="I806" s="74">
        <f>IF(OR(E806="",F806=""),"",E806*F806)</f>
        <v/>
      </c>
      <c r="J806" s="75">
        <f>IF(I806="","",IF(D806="Buy",I806+N(G806),IF(D806="Sell",I806-N(G806),IF(D806="Dividend",I806-N(G806),I806+N(G806)))))</f>
        <v/>
      </c>
      <c r="K806" s="76">
        <f>IF(B806="","",DATE(YEAR(B806),MONTH(B806),1))</f>
        <v/>
      </c>
      <c r="L806" s="77">
        <f>IF(B806="","",YEAR(B806))</f>
        <v/>
      </c>
    </row>
    <row r="807" ht="19" customHeight="1">
      <c r="A807" s="69">
        <f>IF(B807="","",ROW()-5)</f>
        <v/>
      </c>
      <c r="B807" s="43" t="n"/>
      <c r="C807" s="41" t="n"/>
      <c r="D807" s="41" t="n"/>
      <c r="E807" s="70" t="n"/>
      <c r="F807" s="71" t="n"/>
      <c r="G807" s="72" t="n"/>
      <c r="H807" s="73" t="n"/>
      <c r="I807" s="74">
        <f>IF(OR(E807="",F807=""),"",E807*F807)</f>
        <v/>
      </c>
      <c r="J807" s="75">
        <f>IF(I807="","",IF(D807="Buy",I807+N(G807),IF(D807="Sell",I807-N(G807),IF(D807="Dividend",I807-N(G807),I807+N(G807)))))</f>
        <v/>
      </c>
      <c r="K807" s="76">
        <f>IF(B807="","",DATE(YEAR(B807),MONTH(B807),1))</f>
        <v/>
      </c>
      <c r="L807" s="77">
        <f>IF(B807="","",YEAR(B807))</f>
        <v/>
      </c>
    </row>
    <row r="808" ht="19" customHeight="1">
      <c r="A808" s="69">
        <f>IF(B808="","",ROW()-5)</f>
        <v/>
      </c>
      <c r="B808" s="43" t="n"/>
      <c r="C808" s="41" t="n"/>
      <c r="D808" s="41" t="n"/>
      <c r="E808" s="70" t="n"/>
      <c r="F808" s="71" t="n"/>
      <c r="G808" s="72" t="n"/>
      <c r="H808" s="73" t="n"/>
      <c r="I808" s="74">
        <f>IF(OR(E808="",F808=""),"",E808*F808)</f>
        <v/>
      </c>
      <c r="J808" s="75">
        <f>IF(I808="","",IF(D808="Buy",I808+N(G808),IF(D808="Sell",I808-N(G808),IF(D808="Dividend",I808-N(G808),I808+N(G808)))))</f>
        <v/>
      </c>
      <c r="K808" s="76">
        <f>IF(B808="","",DATE(YEAR(B808),MONTH(B808),1))</f>
        <v/>
      </c>
      <c r="L808" s="77">
        <f>IF(B808="","",YEAR(B808))</f>
        <v/>
      </c>
    </row>
    <row r="809" ht="19" customHeight="1">
      <c r="A809" s="69">
        <f>IF(B809="","",ROW()-5)</f>
        <v/>
      </c>
      <c r="B809" s="43" t="n"/>
      <c r="C809" s="41" t="n"/>
      <c r="D809" s="41" t="n"/>
      <c r="E809" s="70" t="n"/>
      <c r="F809" s="71" t="n"/>
      <c r="G809" s="72" t="n"/>
      <c r="H809" s="73" t="n"/>
      <c r="I809" s="74">
        <f>IF(OR(E809="",F809=""),"",E809*F809)</f>
        <v/>
      </c>
      <c r="J809" s="75">
        <f>IF(I809="","",IF(D809="Buy",I809+N(G809),IF(D809="Sell",I809-N(G809),IF(D809="Dividend",I809-N(G809),I809+N(G809)))))</f>
        <v/>
      </c>
      <c r="K809" s="76">
        <f>IF(B809="","",DATE(YEAR(B809),MONTH(B809),1))</f>
        <v/>
      </c>
      <c r="L809" s="77">
        <f>IF(B809="","",YEAR(B809))</f>
        <v/>
      </c>
    </row>
    <row r="810" ht="19" customHeight="1">
      <c r="A810" s="69">
        <f>IF(B810="","",ROW()-5)</f>
        <v/>
      </c>
      <c r="B810" s="43" t="n"/>
      <c r="C810" s="41" t="n"/>
      <c r="D810" s="41" t="n"/>
      <c r="E810" s="70" t="n"/>
      <c r="F810" s="71" t="n"/>
      <c r="G810" s="72" t="n"/>
      <c r="H810" s="73" t="n"/>
      <c r="I810" s="74">
        <f>IF(OR(E810="",F810=""),"",E810*F810)</f>
        <v/>
      </c>
      <c r="J810" s="75">
        <f>IF(I810="","",IF(D810="Buy",I810+N(G810),IF(D810="Sell",I810-N(G810),IF(D810="Dividend",I810-N(G810),I810+N(G810)))))</f>
        <v/>
      </c>
      <c r="K810" s="76">
        <f>IF(B810="","",DATE(YEAR(B810),MONTH(B810),1))</f>
        <v/>
      </c>
      <c r="L810" s="77">
        <f>IF(B810="","",YEAR(B810))</f>
        <v/>
      </c>
    </row>
    <row r="811" ht="19" customHeight="1">
      <c r="A811" s="69">
        <f>IF(B811="","",ROW()-5)</f>
        <v/>
      </c>
      <c r="B811" s="43" t="n"/>
      <c r="C811" s="41" t="n"/>
      <c r="D811" s="41" t="n"/>
      <c r="E811" s="70" t="n"/>
      <c r="F811" s="71" t="n"/>
      <c r="G811" s="72" t="n"/>
      <c r="H811" s="73" t="n"/>
      <c r="I811" s="74">
        <f>IF(OR(E811="",F811=""),"",E811*F811)</f>
        <v/>
      </c>
      <c r="J811" s="75">
        <f>IF(I811="","",IF(D811="Buy",I811+N(G811),IF(D811="Sell",I811-N(G811),IF(D811="Dividend",I811-N(G811),I811+N(G811)))))</f>
        <v/>
      </c>
      <c r="K811" s="76">
        <f>IF(B811="","",DATE(YEAR(B811),MONTH(B811),1))</f>
        <v/>
      </c>
      <c r="L811" s="77">
        <f>IF(B811="","",YEAR(B811))</f>
        <v/>
      </c>
    </row>
    <row r="812" ht="19" customHeight="1">
      <c r="A812" s="69">
        <f>IF(B812="","",ROW()-5)</f>
        <v/>
      </c>
      <c r="B812" s="43" t="n"/>
      <c r="C812" s="41" t="n"/>
      <c r="D812" s="41" t="n"/>
      <c r="E812" s="70" t="n"/>
      <c r="F812" s="71" t="n"/>
      <c r="G812" s="72" t="n"/>
      <c r="H812" s="73" t="n"/>
      <c r="I812" s="74">
        <f>IF(OR(E812="",F812=""),"",E812*F812)</f>
        <v/>
      </c>
      <c r="J812" s="75">
        <f>IF(I812="","",IF(D812="Buy",I812+N(G812),IF(D812="Sell",I812-N(G812),IF(D812="Dividend",I812-N(G812),I812+N(G812)))))</f>
        <v/>
      </c>
      <c r="K812" s="76">
        <f>IF(B812="","",DATE(YEAR(B812),MONTH(B812),1))</f>
        <v/>
      </c>
      <c r="L812" s="77">
        <f>IF(B812="","",YEAR(B812))</f>
        <v/>
      </c>
    </row>
    <row r="813" ht="19" customHeight="1">
      <c r="A813" s="69">
        <f>IF(B813="","",ROW()-5)</f>
        <v/>
      </c>
      <c r="B813" s="43" t="n"/>
      <c r="C813" s="41" t="n"/>
      <c r="D813" s="41" t="n"/>
      <c r="E813" s="70" t="n"/>
      <c r="F813" s="71" t="n"/>
      <c r="G813" s="72" t="n"/>
      <c r="H813" s="73" t="n"/>
      <c r="I813" s="74">
        <f>IF(OR(E813="",F813=""),"",E813*F813)</f>
        <v/>
      </c>
      <c r="J813" s="75">
        <f>IF(I813="","",IF(D813="Buy",I813+N(G813),IF(D813="Sell",I813-N(G813),IF(D813="Dividend",I813-N(G813),I813+N(G813)))))</f>
        <v/>
      </c>
      <c r="K813" s="76">
        <f>IF(B813="","",DATE(YEAR(B813),MONTH(B813),1))</f>
        <v/>
      </c>
      <c r="L813" s="77">
        <f>IF(B813="","",YEAR(B813))</f>
        <v/>
      </c>
    </row>
    <row r="814" ht="19" customHeight="1">
      <c r="A814" s="69">
        <f>IF(B814="","",ROW()-5)</f>
        <v/>
      </c>
      <c r="B814" s="43" t="n"/>
      <c r="C814" s="41" t="n"/>
      <c r="D814" s="41" t="n"/>
      <c r="E814" s="70" t="n"/>
      <c r="F814" s="71" t="n"/>
      <c r="G814" s="72" t="n"/>
      <c r="H814" s="73" t="n"/>
      <c r="I814" s="74">
        <f>IF(OR(E814="",F814=""),"",E814*F814)</f>
        <v/>
      </c>
      <c r="J814" s="75">
        <f>IF(I814="","",IF(D814="Buy",I814+N(G814),IF(D814="Sell",I814-N(G814),IF(D814="Dividend",I814-N(G814),I814+N(G814)))))</f>
        <v/>
      </c>
      <c r="K814" s="76">
        <f>IF(B814="","",DATE(YEAR(B814),MONTH(B814),1))</f>
        <v/>
      </c>
      <c r="L814" s="77">
        <f>IF(B814="","",YEAR(B814))</f>
        <v/>
      </c>
    </row>
    <row r="815" ht="19" customHeight="1">
      <c r="A815" s="69">
        <f>IF(B815="","",ROW()-5)</f>
        <v/>
      </c>
      <c r="B815" s="43" t="n"/>
      <c r="C815" s="41" t="n"/>
      <c r="D815" s="41" t="n"/>
      <c r="E815" s="70" t="n"/>
      <c r="F815" s="71" t="n"/>
      <c r="G815" s="72" t="n"/>
      <c r="H815" s="73" t="n"/>
      <c r="I815" s="74">
        <f>IF(OR(E815="",F815=""),"",E815*F815)</f>
        <v/>
      </c>
      <c r="J815" s="75">
        <f>IF(I815="","",IF(D815="Buy",I815+N(G815),IF(D815="Sell",I815-N(G815),IF(D815="Dividend",I815-N(G815),I815+N(G815)))))</f>
        <v/>
      </c>
      <c r="K815" s="76">
        <f>IF(B815="","",DATE(YEAR(B815),MONTH(B815),1))</f>
        <v/>
      </c>
      <c r="L815" s="77">
        <f>IF(B815="","",YEAR(B815))</f>
        <v/>
      </c>
    </row>
    <row r="816" ht="19" customHeight="1">
      <c r="A816" s="69">
        <f>IF(B816="","",ROW()-5)</f>
        <v/>
      </c>
      <c r="B816" s="43" t="n"/>
      <c r="C816" s="41" t="n"/>
      <c r="D816" s="41" t="n"/>
      <c r="E816" s="70" t="n"/>
      <c r="F816" s="71" t="n"/>
      <c r="G816" s="72" t="n"/>
      <c r="H816" s="73" t="n"/>
      <c r="I816" s="74">
        <f>IF(OR(E816="",F816=""),"",E816*F816)</f>
        <v/>
      </c>
      <c r="J816" s="75">
        <f>IF(I816="","",IF(D816="Buy",I816+N(G816),IF(D816="Sell",I816-N(G816),IF(D816="Dividend",I816-N(G816),I816+N(G816)))))</f>
        <v/>
      </c>
      <c r="K816" s="76">
        <f>IF(B816="","",DATE(YEAR(B816),MONTH(B816),1))</f>
        <v/>
      </c>
      <c r="L816" s="77">
        <f>IF(B816="","",YEAR(B816))</f>
        <v/>
      </c>
    </row>
    <row r="817" ht="19" customHeight="1">
      <c r="A817" s="69">
        <f>IF(B817="","",ROW()-5)</f>
        <v/>
      </c>
      <c r="B817" s="43" t="n"/>
      <c r="C817" s="41" t="n"/>
      <c r="D817" s="41" t="n"/>
      <c r="E817" s="70" t="n"/>
      <c r="F817" s="71" t="n"/>
      <c r="G817" s="72" t="n"/>
      <c r="H817" s="73" t="n"/>
      <c r="I817" s="74">
        <f>IF(OR(E817="",F817=""),"",E817*F817)</f>
        <v/>
      </c>
      <c r="J817" s="75">
        <f>IF(I817="","",IF(D817="Buy",I817+N(G817),IF(D817="Sell",I817-N(G817),IF(D817="Dividend",I817-N(G817),I817+N(G817)))))</f>
        <v/>
      </c>
      <c r="K817" s="76">
        <f>IF(B817="","",DATE(YEAR(B817),MONTH(B817),1))</f>
        <v/>
      </c>
      <c r="L817" s="77">
        <f>IF(B817="","",YEAR(B817))</f>
        <v/>
      </c>
    </row>
    <row r="818" ht="19" customHeight="1">
      <c r="A818" s="69">
        <f>IF(B818="","",ROW()-5)</f>
        <v/>
      </c>
      <c r="B818" s="43" t="n"/>
      <c r="C818" s="41" t="n"/>
      <c r="D818" s="41" t="n"/>
      <c r="E818" s="70" t="n"/>
      <c r="F818" s="71" t="n"/>
      <c r="G818" s="72" t="n"/>
      <c r="H818" s="73" t="n"/>
      <c r="I818" s="74">
        <f>IF(OR(E818="",F818=""),"",E818*F818)</f>
        <v/>
      </c>
      <c r="J818" s="75">
        <f>IF(I818="","",IF(D818="Buy",I818+N(G818),IF(D818="Sell",I818-N(G818),IF(D818="Dividend",I818-N(G818),I818+N(G818)))))</f>
        <v/>
      </c>
      <c r="K818" s="76">
        <f>IF(B818="","",DATE(YEAR(B818),MONTH(B818),1))</f>
        <v/>
      </c>
      <c r="L818" s="77">
        <f>IF(B818="","",YEAR(B818))</f>
        <v/>
      </c>
    </row>
    <row r="819" ht="19" customHeight="1">
      <c r="A819" s="69">
        <f>IF(B819="","",ROW()-5)</f>
        <v/>
      </c>
      <c r="B819" s="43" t="n"/>
      <c r="C819" s="41" t="n"/>
      <c r="D819" s="41" t="n"/>
      <c r="E819" s="70" t="n"/>
      <c r="F819" s="71" t="n"/>
      <c r="G819" s="72" t="n"/>
      <c r="H819" s="73" t="n"/>
      <c r="I819" s="74">
        <f>IF(OR(E819="",F819=""),"",E819*F819)</f>
        <v/>
      </c>
      <c r="J819" s="75">
        <f>IF(I819="","",IF(D819="Buy",I819+N(G819),IF(D819="Sell",I819-N(G819),IF(D819="Dividend",I819-N(G819),I819+N(G819)))))</f>
        <v/>
      </c>
      <c r="K819" s="76">
        <f>IF(B819="","",DATE(YEAR(B819),MONTH(B819),1))</f>
        <v/>
      </c>
      <c r="L819" s="77">
        <f>IF(B819="","",YEAR(B819))</f>
        <v/>
      </c>
    </row>
    <row r="820" ht="19" customHeight="1">
      <c r="A820" s="69">
        <f>IF(B820="","",ROW()-5)</f>
        <v/>
      </c>
      <c r="B820" s="43" t="n"/>
      <c r="C820" s="41" t="n"/>
      <c r="D820" s="41" t="n"/>
      <c r="E820" s="70" t="n"/>
      <c r="F820" s="71" t="n"/>
      <c r="G820" s="72" t="n"/>
      <c r="H820" s="73" t="n"/>
      <c r="I820" s="74">
        <f>IF(OR(E820="",F820=""),"",E820*F820)</f>
        <v/>
      </c>
      <c r="J820" s="75">
        <f>IF(I820="","",IF(D820="Buy",I820+N(G820),IF(D820="Sell",I820-N(G820),IF(D820="Dividend",I820-N(G820),I820+N(G820)))))</f>
        <v/>
      </c>
      <c r="K820" s="76">
        <f>IF(B820="","",DATE(YEAR(B820),MONTH(B820),1))</f>
        <v/>
      </c>
      <c r="L820" s="77">
        <f>IF(B820="","",YEAR(B820))</f>
        <v/>
      </c>
    </row>
    <row r="821" ht="19" customHeight="1">
      <c r="A821" s="69">
        <f>IF(B821="","",ROW()-5)</f>
        <v/>
      </c>
      <c r="B821" s="43" t="n"/>
      <c r="C821" s="41" t="n"/>
      <c r="D821" s="41" t="n"/>
      <c r="E821" s="70" t="n"/>
      <c r="F821" s="71" t="n"/>
      <c r="G821" s="72" t="n"/>
      <c r="H821" s="73" t="n"/>
      <c r="I821" s="74">
        <f>IF(OR(E821="",F821=""),"",E821*F821)</f>
        <v/>
      </c>
      <c r="J821" s="75">
        <f>IF(I821="","",IF(D821="Buy",I821+N(G821),IF(D821="Sell",I821-N(G821),IF(D821="Dividend",I821-N(G821),I821+N(G821)))))</f>
        <v/>
      </c>
      <c r="K821" s="76">
        <f>IF(B821="","",DATE(YEAR(B821),MONTH(B821),1))</f>
        <v/>
      </c>
      <c r="L821" s="77">
        <f>IF(B821="","",YEAR(B821))</f>
        <v/>
      </c>
    </row>
    <row r="822" ht="19" customHeight="1">
      <c r="A822" s="69">
        <f>IF(B822="","",ROW()-5)</f>
        <v/>
      </c>
      <c r="B822" s="43" t="n"/>
      <c r="C822" s="41" t="n"/>
      <c r="D822" s="41" t="n"/>
      <c r="E822" s="70" t="n"/>
      <c r="F822" s="71" t="n"/>
      <c r="G822" s="72" t="n"/>
      <c r="H822" s="73" t="n"/>
      <c r="I822" s="74">
        <f>IF(OR(E822="",F822=""),"",E822*F822)</f>
        <v/>
      </c>
      <c r="J822" s="75">
        <f>IF(I822="","",IF(D822="Buy",I822+N(G822),IF(D822="Sell",I822-N(G822),IF(D822="Dividend",I822-N(G822),I822+N(G822)))))</f>
        <v/>
      </c>
      <c r="K822" s="76">
        <f>IF(B822="","",DATE(YEAR(B822),MONTH(B822),1))</f>
        <v/>
      </c>
      <c r="L822" s="77">
        <f>IF(B822="","",YEAR(B822))</f>
        <v/>
      </c>
    </row>
    <row r="823" ht="19" customHeight="1">
      <c r="A823" s="69">
        <f>IF(B823="","",ROW()-5)</f>
        <v/>
      </c>
      <c r="B823" s="43" t="n"/>
      <c r="C823" s="41" t="n"/>
      <c r="D823" s="41" t="n"/>
      <c r="E823" s="70" t="n"/>
      <c r="F823" s="71" t="n"/>
      <c r="G823" s="72" t="n"/>
      <c r="H823" s="73" t="n"/>
      <c r="I823" s="74">
        <f>IF(OR(E823="",F823=""),"",E823*F823)</f>
        <v/>
      </c>
      <c r="J823" s="75">
        <f>IF(I823="","",IF(D823="Buy",I823+N(G823),IF(D823="Sell",I823-N(G823),IF(D823="Dividend",I823-N(G823),I823+N(G823)))))</f>
        <v/>
      </c>
      <c r="K823" s="76">
        <f>IF(B823="","",DATE(YEAR(B823),MONTH(B823),1))</f>
        <v/>
      </c>
      <c r="L823" s="77">
        <f>IF(B823="","",YEAR(B823))</f>
        <v/>
      </c>
    </row>
    <row r="824" ht="19" customHeight="1">
      <c r="A824" s="69">
        <f>IF(B824="","",ROW()-5)</f>
        <v/>
      </c>
      <c r="B824" s="43" t="n"/>
      <c r="C824" s="41" t="n"/>
      <c r="D824" s="41" t="n"/>
      <c r="E824" s="70" t="n"/>
      <c r="F824" s="71" t="n"/>
      <c r="G824" s="72" t="n"/>
      <c r="H824" s="73" t="n"/>
      <c r="I824" s="74">
        <f>IF(OR(E824="",F824=""),"",E824*F824)</f>
        <v/>
      </c>
      <c r="J824" s="75">
        <f>IF(I824="","",IF(D824="Buy",I824+N(G824),IF(D824="Sell",I824-N(G824),IF(D824="Dividend",I824-N(G824),I824+N(G824)))))</f>
        <v/>
      </c>
      <c r="K824" s="76">
        <f>IF(B824="","",DATE(YEAR(B824),MONTH(B824),1))</f>
        <v/>
      </c>
      <c r="L824" s="77">
        <f>IF(B824="","",YEAR(B824))</f>
        <v/>
      </c>
    </row>
    <row r="825" ht="19" customHeight="1">
      <c r="A825" s="69">
        <f>IF(B825="","",ROW()-5)</f>
        <v/>
      </c>
      <c r="B825" s="43" t="n"/>
      <c r="C825" s="41" t="n"/>
      <c r="D825" s="41" t="n"/>
      <c r="E825" s="70" t="n"/>
      <c r="F825" s="71" t="n"/>
      <c r="G825" s="72" t="n"/>
      <c r="H825" s="73" t="n"/>
      <c r="I825" s="74">
        <f>IF(OR(E825="",F825=""),"",E825*F825)</f>
        <v/>
      </c>
      <c r="J825" s="75">
        <f>IF(I825="","",IF(D825="Buy",I825+N(G825),IF(D825="Sell",I825-N(G825),IF(D825="Dividend",I825-N(G825),I825+N(G825)))))</f>
        <v/>
      </c>
      <c r="K825" s="76">
        <f>IF(B825="","",DATE(YEAR(B825),MONTH(B825),1))</f>
        <v/>
      </c>
      <c r="L825" s="77">
        <f>IF(B825="","",YEAR(B825))</f>
        <v/>
      </c>
    </row>
    <row r="826" ht="19" customHeight="1">
      <c r="A826" s="69">
        <f>IF(B826="","",ROW()-5)</f>
        <v/>
      </c>
      <c r="B826" s="43" t="n"/>
      <c r="C826" s="41" t="n"/>
      <c r="D826" s="41" t="n"/>
      <c r="E826" s="70" t="n"/>
      <c r="F826" s="71" t="n"/>
      <c r="G826" s="72" t="n"/>
      <c r="H826" s="73" t="n"/>
      <c r="I826" s="74">
        <f>IF(OR(E826="",F826=""),"",E826*F826)</f>
        <v/>
      </c>
      <c r="J826" s="75">
        <f>IF(I826="","",IF(D826="Buy",I826+N(G826),IF(D826="Sell",I826-N(G826),IF(D826="Dividend",I826-N(G826),I826+N(G826)))))</f>
        <v/>
      </c>
      <c r="K826" s="76">
        <f>IF(B826="","",DATE(YEAR(B826),MONTH(B826),1))</f>
        <v/>
      </c>
      <c r="L826" s="77">
        <f>IF(B826="","",YEAR(B826))</f>
        <v/>
      </c>
    </row>
    <row r="827" ht="19" customHeight="1">
      <c r="A827" s="69">
        <f>IF(B827="","",ROW()-5)</f>
        <v/>
      </c>
      <c r="B827" s="43" t="n"/>
      <c r="C827" s="41" t="n"/>
      <c r="D827" s="41" t="n"/>
      <c r="E827" s="70" t="n"/>
      <c r="F827" s="71" t="n"/>
      <c r="G827" s="72" t="n"/>
      <c r="H827" s="73" t="n"/>
      <c r="I827" s="74">
        <f>IF(OR(E827="",F827=""),"",E827*F827)</f>
        <v/>
      </c>
      <c r="J827" s="75">
        <f>IF(I827="","",IF(D827="Buy",I827+N(G827),IF(D827="Sell",I827-N(G827),IF(D827="Dividend",I827-N(G827),I827+N(G827)))))</f>
        <v/>
      </c>
      <c r="K827" s="76">
        <f>IF(B827="","",DATE(YEAR(B827),MONTH(B827),1))</f>
        <v/>
      </c>
      <c r="L827" s="77">
        <f>IF(B827="","",YEAR(B827))</f>
        <v/>
      </c>
    </row>
    <row r="828" ht="19" customHeight="1">
      <c r="A828" s="69">
        <f>IF(B828="","",ROW()-5)</f>
        <v/>
      </c>
      <c r="B828" s="43" t="n"/>
      <c r="C828" s="41" t="n"/>
      <c r="D828" s="41" t="n"/>
      <c r="E828" s="70" t="n"/>
      <c r="F828" s="71" t="n"/>
      <c r="G828" s="72" t="n"/>
      <c r="H828" s="73" t="n"/>
      <c r="I828" s="74">
        <f>IF(OR(E828="",F828=""),"",E828*F828)</f>
        <v/>
      </c>
      <c r="J828" s="75">
        <f>IF(I828="","",IF(D828="Buy",I828+N(G828),IF(D828="Sell",I828-N(G828),IF(D828="Dividend",I828-N(G828),I828+N(G828)))))</f>
        <v/>
      </c>
      <c r="K828" s="76">
        <f>IF(B828="","",DATE(YEAR(B828),MONTH(B828),1))</f>
        <v/>
      </c>
      <c r="L828" s="77">
        <f>IF(B828="","",YEAR(B828))</f>
        <v/>
      </c>
    </row>
    <row r="829" ht="19" customHeight="1">
      <c r="A829" s="69">
        <f>IF(B829="","",ROW()-5)</f>
        <v/>
      </c>
      <c r="B829" s="43" t="n"/>
      <c r="C829" s="41" t="n"/>
      <c r="D829" s="41" t="n"/>
      <c r="E829" s="70" t="n"/>
      <c r="F829" s="71" t="n"/>
      <c r="G829" s="72" t="n"/>
      <c r="H829" s="73" t="n"/>
      <c r="I829" s="74">
        <f>IF(OR(E829="",F829=""),"",E829*F829)</f>
        <v/>
      </c>
      <c r="J829" s="75">
        <f>IF(I829="","",IF(D829="Buy",I829+N(G829),IF(D829="Sell",I829-N(G829),IF(D829="Dividend",I829-N(G829),I829+N(G829)))))</f>
        <v/>
      </c>
      <c r="K829" s="76">
        <f>IF(B829="","",DATE(YEAR(B829),MONTH(B829),1))</f>
        <v/>
      </c>
      <c r="L829" s="77">
        <f>IF(B829="","",YEAR(B829))</f>
        <v/>
      </c>
    </row>
    <row r="830" ht="19" customHeight="1">
      <c r="A830" s="69">
        <f>IF(B830="","",ROW()-5)</f>
        <v/>
      </c>
      <c r="B830" s="43" t="n"/>
      <c r="C830" s="41" t="n"/>
      <c r="D830" s="41" t="n"/>
      <c r="E830" s="70" t="n"/>
      <c r="F830" s="71" t="n"/>
      <c r="G830" s="72" t="n"/>
      <c r="H830" s="73" t="n"/>
      <c r="I830" s="74">
        <f>IF(OR(E830="",F830=""),"",E830*F830)</f>
        <v/>
      </c>
      <c r="J830" s="75">
        <f>IF(I830="","",IF(D830="Buy",I830+N(G830),IF(D830="Sell",I830-N(G830),IF(D830="Dividend",I830-N(G830),I830+N(G830)))))</f>
        <v/>
      </c>
      <c r="K830" s="76">
        <f>IF(B830="","",DATE(YEAR(B830),MONTH(B830),1))</f>
        <v/>
      </c>
      <c r="L830" s="77">
        <f>IF(B830="","",YEAR(B830))</f>
        <v/>
      </c>
    </row>
    <row r="831" ht="19" customHeight="1">
      <c r="A831" s="69">
        <f>IF(B831="","",ROW()-5)</f>
        <v/>
      </c>
      <c r="B831" s="43" t="n"/>
      <c r="C831" s="41" t="n"/>
      <c r="D831" s="41" t="n"/>
      <c r="E831" s="70" t="n"/>
      <c r="F831" s="71" t="n"/>
      <c r="G831" s="72" t="n"/>
      <c r="H831" s="73" t="n"/>
      <c r="I831" s="74">
        <f>IF(OR(E831="",F831=""),"",E831*F831)</f>
        <v/>
      </c>
      <c r="J831" s="75">
        <f>IF(I831="","",IF(D831="Buy",I831+N(G831),IF(D831="Sell",I831-N(G831),IF(D831="Dividend",I831-N(G831),I831+N(G831)))))</f>
        <v/>
      </c>
      <c r="K831" s="76">
        <f>IF(B831="","",DATE(YEAR(B831),MONTH(B831),1))</f>
        <v/>
      </c>
      <c r="L831" s="77">
        <f>IF(B831="","",YEAR(B831))</f>
        <v/>
      </c>
    </row>
    <row r="832" ht="19" customHeight="1">
      <c r="A832" s="69">
        <f>IF(B832="","",ROW()-5)</f>
        <v/>
      </c>
      <c r="B832" s="43" t="n"/>
      <c r="C832" s="41" t="n"/>
      <c r="D832" s="41" t="n"/>
      <c r="E832" s="70" t="n"/>
      <c r="F832" s="71" t="n"/>
      <c r="G832" s="72" t="n"/>
      <c r="H832" s="73" t="n"/>
      <c r="I832" s="74">
        <f>IF(OR(E832="",F832=""),"",E832*F832)</f>
        <v/>
      </c>
      <c r="J832" s="75">
        <f>IF(I832="","",IF(D832="Buy",I832+N(G832),IF(D832="Sell",I832-N(G832),IF(D832="Dividend",I832-N(G832),I832+N(G832)))))</f>
        <v/>
      </c>
      <c r="K832" s="76">
        <f>IF(B832="","",DATE(YEAR(B832),MONTH(B832),1))</f>
        <v/>
      </c>
      <c r="L832" s="77">
        <f>IF(B832="","",YEAR(B832))</f>
        <v/>
      </c>
    </row>
    <row r="833" ht="19" customHeight="1">
      <c r="A833" s="69">
        <f>IF(B833="","",ROW()-5)</f>
        <v/>
      </c>
      <c r="B833" s="43" t="n"/>
      <c r="C833" s="41" t="n"/>
      <c r="D833" s="41" t="n"/>
      <c r="E833" s="70" t="n"/>
      <c r="F833" s="71" t="n"/>
      <c r="G833" s="72" t="n"/>
      <c r="H833" s="73" t="n"/>
      <c r="I833" s="74">
        <f>IF(OR(E833="",F833=""),"",E833*F833)</f>
        <v/>
      </c>
      <c r="J833" s="75">
        <f>IF(I833="","",IF(D833="Buy",I833+N(G833),IF(D833="Sell",I833-N(G833),IF(D833="Dividend",I833-N(G833),I833+N(G833)))))</f>
        <v/>
      </c>
      <c r="K833" s="76">
        <f>IF(B833="","",DATE(YEAR(B833),MONTH(B833),1))</f>
        <v/>
      </c>
      <c r="L833" s="77">
        <f>IF(B833="","",YEAR(B833))</f>
        <v/>
      </c>
    </row>
    <row r="834" ht="19" customHeight="1">
      <c r="A834" s="69">
        <f>IF(B834="","",ROW()-5)</f>
        <v/>
      </c>
      <c r="B834" s="43" t="n"/>
      <c r="C834" s="41" t="n"/>
      <c r="D834" s="41" t="n"/>
      <c r="E834" s="70" t="n"/>
      <c r="F834" s="71" t="n"/>
      <c r="G834" s="72" t="n"/>
      <c r="H834" s="73" t="n"/>
      <c r="I834" s="74">
        <f>IF(OR(E834="",F834=""),"",E834*F834)</f>
        <v/>
      </c>
      <c r="J834" s="75">
        <f>IF(I834="","",IF(D834="Buy",I834+N(G834),IF(D834="Sell",I834-N(G834),IF(D834="Dividend",I834-N(G834),I834+N(G834)))))</f>
        <v/>
      </c>
      <c r="K834" s="76">
        <f>IF(B834="","",DATE(YEAR(B834),MONTH(B834),1))</f>
        <v/>
      </c>
      <c r="L834" s="77">
        <f>IF(B834="","",YEAR(B834))</f>
        <v/>
      </c>
    </row>
    <row r="835" ht="19" customHeight="1">
      <c r="A835" s="69">
        <f>IF(B835="","",ROW()-5)</f>
        <v/>
      </c>
      <c r="B835" s="43" t="n"/>
      <c r="C835" s="41" t="n"/>
      <c r="D835" s="41" t="n"/>
      <c r="E835" s="70" t="n"/>
      <c r="F835" s="71" t="n"/>
      <c r="G835" s="72" t="n"/>
      <c r="H835" s="73" t="n"/>
      <c r="I835" s="74">
        <f>IF(OR(E835="",F835=""),"",E835*F835)</f>
        <v/>
      </c>
      <c r="J835" s="75">
        <f>IF(I835="","",IF(D835="Buy",I835+N(G835),IF(D835="Sell",I835-N(G835),IF(D835="Dividend",I835-N(G835),I835+N(G835)))))</f>
        <v/>
      </c>
      <c r="K835" s="76">
        <f>IF(B835="","",DATE(YEAR(B835),MONTH(B835),1))</f>
        <v/>
      </c>
      <c r="L835" s="77">
        <f>IF(B835="","",YEAR(B835))</f>
        <v/>
      </c>
    </row>
    <row r="836" ht="19" customHeight="1">
      <c r="A836" s="69">
        <f>IF(B836="","",ROW()-5)</f>
        <v/>
      </c>
      <c r="B836" s="43" t="n"/>
      <c r="C836" s="41" t="n"/>
      <c r="D836" s="41" t="n"/>
      <c r="E836" s="70" t="n"/>
      <c r="F836" s="71" t="n"/>
      <c r="G836" s="72" t="n"/>
      <c r="H836" s="73" t="n"/>
      <c r="I836" s="74">
        <f>IF(OR(E836="",F836=""),"",E836*F836)</f>
        <v/>
      </c>
      <c r="J836" s="75">
        <f>IF(I836="","",IF(D836="Buy",I836+N(G836),IF(D836="Sell",I836-N(G836),IF(D836="Dividend",I836-N(G836),I836+N(G836)))))</f>
        <v/>
      </c>
      <c r="K836" s="76">
        <f>IF(B836="","",DATE(YEAR(B836),MONTH(B836),1))</f>
        <v/>
      </c>
      <c r="L836" s="77">
        <f>IF(B836="","",YEAR(B836))</f>
        <v/>
      </c>
    </row>
    <row r="837" ht="19" customHeight="1">
      <c r="A837" s="69">
        <f>IF(B837="","",ROW()-5)</f>
        <v/>
      </c>
      <c r="B837" s="43" t="n"/>
      <c r="C837" s="41" t="n"/>
      <c r="D837" s="41" t="n"/>
      <c r="E837" s="70" t="n"/>
      <c r="F837" s="71" t="n"/>
      <c r="G837" s="72" t="n"/>
      <c r="H837" s="73" t="n"/>
      <c r="I837" s="74">
        <f>IF(OR(E837="",F837=""),"",E837*F837)</f>
        <v/>
      </c>
      <c r="J837" s="75">
        <f>IF(I837="","",IF(D837="Buy",I837+N(G837),IF(D837="Sell",I837-N(G837),IF(D837="Dividend",I837-N(G837),I837+N(G837)))))</f>
        <v/>
      </c>
      <c r="K837" s="76">
        <f>IF(B837="","",DATE(YEAR(B837),MONTH(B837),1))</f>
        <v/>
      </c>
      <c r="L837" s="77">
        <f>IF(B837="","",YEAR(B837))</f>
        <v/>
      </c>
    </row>
    <row r="838" ht="19" customHeight="1">
      <c r="A838" s="69">
        <f>IF(B838="","",ROW()-5)</f>
        <v/>
      </c>
      <c r="B838" s="43" t="n"/>
      <c r="C838" s="41" t="n"/>
      <c r="D838" s="41" t="n"/>
      <c r="E838" s="70" t="n"/>
      <c r="F838" s="71" t="n"/>
      <c r="G838" s="72" t="n"/>
      <c r="H838" s="73" t="n"/>
      <c r="I838" s="74">
        <f>IF(OR(E838="",F838=""),"",E838*F838)</f>
        <v/>
      </c>
      <c r="J838" s="75">
        <f>IF(I838="","",IF(D838="Buy",I838+N(G838),IF(D838="Sell",I838-N(G838),IF(D838="Dividend",I838-N(G838),I838+N(G838)))))</f>
        <v/>
      </c>
      <c r="K838" s="76">
        <f>IF(B838="","",DATE(YEAR(B838),MONTH(B838),1))</f>
        <v/>
      </c>
      <c r="L838" s="77">
        <f>IF(B838="","",YEAR(B838))</f>
        <v/>
      </c>
    </row>
    <row r="839" ht="19" customHeight="1">
      <c r="A839" s="69">
        <f>IF(B839="","",ROW()-5)</f>
        <v/>
      </c>
      <c r="B839" s="43" t="n"/>
      <c r="C839" s="41" t="n"/>
      <c r="D839" s="41" t="n"/>
      <c r="E839" s="70" t="n"/>
      <c r="F839" s="71" t="n"/>
      <c r="G839" s="72" t="n"/>
      <c r="H839" s="73" t="n"/>
      <c r="I839" s="74">
        <f>IF(OR(E839="",F839=""),"",E839*F839)</f>
        <v/>
      </c>
      <c r="J839" s="75">
        <f>IF(I839="","",IF(D839="Buy",I839+N(G839),IF(D839="Sell",I839-N(G839),IF(D839="Dividend",I839-N(G839),I839+N(G839)))))</f>
        <v/>
      </c>
      <c r="K839" s="76">
        <f>IF(B839="","",DATE(YEAR(B839),MONTH(B839),1))</f>
        <v/>
      </c>
      <c r="L839" s="77">
        <f>IF(B839="","",YEAR(B839))</f>
        <v/>
      </c>
    </row>
    <row r="840" ht="19" customHeight="1">
      <c r="A840" s="69">
        <f>IF(B840="","",ROW()-5)</f>
        <v/>
      </c>
      <c r="B840" s="43" t="n"/>
      <c r="C840" s="41" t="n"/>
      <c r="D840" s="41" t="n"/>
      <c r="E840" s="70" t="n"/>
      <c r="F840" s="71" t="n"/>
      <c r="G840" s="72" t="n"/>
      <c r="H840" s="73" t="n"/>
      <c r="I840" s="74">
        <f>IF(OR(E840="",F840=""),"",E840*F840)</f>
        <v/>
      </c>
      <c r="J840" s="75">
        <f>IF(I840="","",IF(D840="Buy",I840+N(G840),IF(D840="Sell",I840-N(G840),IF(D840="Dividend",I840-N(G840),I840+N(G840)))))</f>
        <v/>
      </c>
      <c r="K840" s="76">
        <f>IF(B840="","",DATE(YEAR(B840),MONTH(B840),1))</f>
        <v/>
      </c>
      <c r="L840" s="77">
        <f>IF(B840="","",YEAR(B840))</f>
        <v/>
      </c>
    </row>
    <row r="841" ht="19" customHeight="1">
      <c r="A841" s="69">
        <f>IF(B841="","",ROW()-5)</f>
        <v/>
      </c>
      <c r="B841" s="43" t="n"/>
      <c r="C841" s="41" t="n"/>
      <c r="D841" s="41" t="n"/>
      <c r="E841" s="70" t="n"/>
      <c r="F841" s="71" t="n"/>
      <c r="G841" s="72" t="n"/>
      <c r="H841" s="73" t="n"/>
      <c r="I841" s="74">
        <f>IF(OR(E841="",F841=""),"",E841*F841)</f>
        <v/>
      </c>
      <c r="J841" s="75">
        <f>IF(I841="","",IF(D841="Buy",I841+N(G841),IF(D841="Sell",I841-N(G841),IF(D841="Dividend",I841-N(G841),I841+N(G841)))))</f>
        <v/>
      </c>
      <c r="K841" s="76">
        <f>IF(B841="","",DATE(YEAR(B841),MONTH(B841),1))</f>
        <v/>
      </c>
      <c r="L841" s="77">
        <f>IF(B841="","",YEAR(B841))</f>
        <v/>
      </c>
    </row>
    <row r="842" ht="19" customHeight="1">
      <c r="A842" s="69">
        <f>IF(B842="","",ROW()-5)</f>
        <v/>
      </c>
      <c r="B842" s="43" t="n"/>
      <c r="C842" s="41" t="n"/>
      <c r="D842" s="41" t="n"/>
      <c r="E842" s="70" t="n"/>
      <c r="F842" s="71" t="n"/>
      <c r="G842" s="72" t="n"/>
      <c r="H842" s="73" t="n"/>
      <c r="I842" s="74">
        <f>IF(OR(E842="",F842=""),"",E842*F842)</f>
        <v/>
      </c>
      <c r="J842" s="75">
        <f>IF(I842="","",IF(D842="Buy",I842+N(G842),IF(D842="Sell",I842-N(G842),IF(D842="Dividend",I842-N(G842),I842+N(G842)))))</f>
        <v/>
      </c>
      <c r="K842" s="76">
        <f>IF(B842="","",DATE(YEAR(B842),MONTH(B842),1))</f>
        <v/>
      </c>
      <c r="L842" s="77">
        <f>IF(B842="","",YEAR(B842))</f>
        <v/>
      </c>
    </row>
    <row r="843" ht="19" customHeight="1">
      <c r="A843" s="69">
        <f>IF(B843="","",ROW()-5)</f>
        <v/>
      </c>
      <c r="B843" s="43" t="n"/>
      <c r="C843" s="41" t="n"/>
      <c r="D843" s="41" t="n"/>
      <c r="E843" s="70" t="n"/>
      <c r="F843" s="71" t="n"/>
      <c r="G843" s="72" t="n"/>
      <c r="H843" s="73" t="n"/>
      <c r="I843" s="74">
        <f>IF(OR(E843="",F843=""),"",E843*F843)</f>
        <v/>
      </c>
      <c r="J843" s="75">
        <f>IF(I843="","",IF(D843="Buy",I843+N(G843),IF(D843="Sell",I843-N(G843),IF(D843="Dividend",I843-N(G843),I843+N(G843)))))</f>
        <v/>
      </c>
      <c r="K843" s="76">
        <f>IF(B843="","",DATE(YEAR(B843),MONTH(B843),1))</f>
        <v/>
      </c>
      <c r="L843" s="77">
        <f>IF(B843="","",YEAR(B843))</f>
        <v/>
      </c>
    </row>
    <row r="844" ht="19" customHeight="1">
      <c r="A844" s="69">
        <f>IF(B844="","",ROW()-5)</f>
        <v/>
      </c>
      <c r="B844" s="43" t="n"/>
      <c r="C844" s="41" t="n"/>
      <c r="D844" s="41" t="n"/>
      <c r="E844" s="70" t="n"/>
      <c r="F844" s="71" t="n"/>
      <c r="G844" s="72" t="n"/>
      <c r="H844" s="73" t="n"/>
      <c r="I844" s="74">
        <f>IF(OR(E844="",F844=""),"",E844*F844)</f>
        <v/>
      </c>
      <c r="J844" s="75">
        <f>IF(I844="","",IF(D844="Buy",I844+N(G844),IF(D844="Sell",I844-N(G844),IF(D844="Dividend",I844-N(G844),I844+N(G844)))))</f>
        <v/>
      </c>
      <c r="K844" s="76">
        <f>IF(B844="","",DATE(YEAR(B844),MONTH(B844),1))</f>
        <v/>
      </c>
      <c r="L844" s="77">
        <f>IF(B844="","",YEAR(B844))</f>
        <v/>
      </c>
    </row>
    <row r="845" ht="19" customHeight="1">
      <c r="A845" s="69">
        <f>IF(B845="","",ROW()-5)</f>
        <v/>
      </c>
      <c r="B845" s="43" t="n"/>
      <c r="C845" s="41" t="n"/>
      <c r="D845" s="41" t="n"/>
      <c r="E845" s="70" t="n"/>
      <c r="F845" s="71" t="n"/>
      <c r="G845" s="72" t="n"/>
      <c r="H845" s="73" t="n"/>
      <c r="I845" s="74">
        <f>IF(OR(E845="",F845=""),"",E845*F845)</f>
        <v/>
      </c>
      <c r="J845" s="75">
        <f>IF(I845="","",IF(D845="Buy",I845+N(G845),IF(D845="Sell",I845-N(G845),IF(D845="Dividend",I845-N(G845),I845+N(G845)))))</f>
        <v/>
      </c>
      <c r="K845" s="76">
        <f>IF(B845="","",DATE(YEAR(B845),MONTH(B845),1))</f>
        <v/>
      </c>
      <c r="L845" s="77">
        <f>IF(B845="","",YEAR(B845))</f>
        <v/>
      </c>
    </row>
    <row r="846" ht="19" customHeight="1">
      <c r="A846" s="69">
        <f>IF(B846="","",ROW()-5)</f>
        <v/>
      </c>
      <c r="B846" s="43" t="n"/>
      <c r="C846" s="41" t="n"/>
      <c r="D846" s="41" t="n"/>
      <c r="E846" s="70" t="n"/>
      <c r="F846" s="71" t="n"/>
      <c r="G846" s="72" t="n"/>
      <c r="H846" s="73" t="n"/>
      <c r="I846" s="74">
        <f>IF(OR(E846="",F846=""),"",E846*F846)</f>
        <v/>
      </c>
      <c r="J846" s="75">
        <f>IF(I846="","",IF(D846="Buy",I846+N(G846),IF(D846="Sell",I846-N(G846),IF(D846="Dividend",I846-N(G846),I846+N(G846)))))</f>
        <v/>
      </c>
      <c r="K846" s="76">
        <f>IF(B846="","",DATE(YEAR(B846),MONTH(B846),1))</f>
        <v/>
      </c>
      <c r="L846" s="77">
        <f>IF(B846="","",YEAR(B846))</f>
        <v/>
      </c>
    </row>
    <row r="847" ht="19" customHeight="1">
      <c r="A847" s="69">
        <f>IF(B847="","",ROW()-5)</f>
        <v/>
      </c>
      <c r="B847" s="43" t="n"/>
      <c r="C847" s="41" t="n"/>
      <c r="D847" s="41" t="n"/>
      <c r="E847" s="70" t="n"/>
      <c r="F847" s="71" t="n"/>
      <c r="G847" s="72" t="n"/>
      <c r="H847" s="73" t="n"/>
      <c r="I847" s="74">
        <f>IF(OR(E847="",F847=""),"",E847*F847)</f>
        <v/>
      </c>
      <c r="J847" s="75">
        <f>IF(I847="","",IF(D847="Buy",I847+N(G847),IF(D847="Sell",I847-N(G847),IF(D847="Dividend",I847-N(G847),I847+N(G847)))))</f>
        <v/>
      </c>
      <c r="K847" s="76">
        <f>IF(B847="","",DATE(YEAR(B847),MONTH(B847),1))</f>
        <v/>
      </c>
      <c r="L847" s="77">
        <f>IF(B847="","",YEAR(B847))</f>
        <v/>
      </c>
    </row>
    <row r="848" ht="19" customHeight="1">
      <c r="A848" s="69">
        <f>IF(B848="","",ROW()-5)</f>
        <v/>
      </c>
      <c r="B848" s="43" t="n"/>
      <c r="C848" s="41" t="n"/>
      <c r="D848" s="41" t="n"/>
      <c r="E848" s="70" t="n"/>
      <c r="F848" s="71" t="n"/>
      <c r="G848" s="72" t="n"/>
      <c r="H848" s="73" t="n"/>
      <c r="I848" s="74">
        <f>IF(OR(E848="",F848=""),"",E848*F848)</f>
        <v/>
      </c>
      <c r="J848" s="75">
        <f>IF(I848="","",IF(D848="Buy",I848+N(G848),IF(D848="Sell",I848-N(G848),IF(D848="Dividend",I848-N(G848),I848+N(G848)))))</f>
        <v/>
      </c>
      <c r="K848" s="76">
        <f>IF(B848="","",DATE(YEAR(B848),MONTH(B848),1))</f>
        <v/>
      </c>
      <c r="L848" s="77">
        <f>IF(B848="","",YEAR(B848))</f>
        <v/>
      </c>
    </row>
    <row r="849" ht="19" customHeight="1">
      <c r="A849" s="69">
        <f>IF(B849="","",ROW()-5)</f>
        <v/>
      </c>
      <c r="B849" s="43" t="n"/>
      <c r="C849" s="41" t="n"/>
      <c r="D849" s="41" t="n"/>
      <c r="E849" s="70" t="n"/>
      <c r="F849" s="71" t="n"/>
      <c r="G849" s="72" t="n"/>
      <c r="H849" s="73" t="n"/>
      <c r="I849" s="74">
        <f>IF(OR(E849="",F849=""),"",E849*F849)</f>
        <v/>
      </c>
      <c r="J849" s="75">
        <f>IF(I849="","",IF(D849="Buy",I849+N(G849),IF(D849="Sell",I849-N(G849),IF(D849="Dividend",I849-N(G849),I849+N(G849)))))</f>
        <v/>
      </c>
      <c r="K849" s="76">
        <f>IF(B849="","",DATE(YEAR(B849),MONTH(B849),1))</f>
        <v/>
      </c>
      <c r="L849" s="77">
        <f>IF(B849="","",YEAR(B849))</f>
        <v/>
      </c>
    </row>
    <row r="850" ht="19" customHeight="1">
      <c r="A850" s="69">
        <f>IF(B850="","",ROW()-5)</f>
        <v/>
      </c>
      <c r="B850" s="43" t="n"/>
      <c r="C850" s="41" t="n"/>
      <c r="D850" s="41" t="n"/>
      <c r="E850" s="70" t="n"/>
      <c r="F850" s="71" t="n"/>
      <c r="G850" s="72" t="n"/>
      <c r="H850" s="73" t="n"/>
      <c r="I850" s="74">
        <f>IF(OR(E850="",F850=""),"",E850*F850)</f>
        <v/>
      </c>
      <c r="J850" s="75">
        <f>IF(I850="","",IF(D850="Buy",I850+N(G850),IF(D850="Sell",I850-N(G850),IF(D850="Dividend",I850-N(G850),I850+N(G850)))))</f>
        <v/>
      </c>
      <c r="K850" s="76">
        <f>IF(B850="","",DATE(YEAR(B850),MONTH(B850),1))</f>
        <v/>
      </c>
      <c r="L850" s="77">
        <f>IF(B850="","",YEAR(B850))</f>
        <v/>
      </c>
    </row>
    <row r="851" ht="19" customHeight="1">
      <c r="A851" s="69">
        <f>IF(B851="","",ROW()-5)</f>
        <v/>
      </c>
      <c r="B851" s="43" t="n"/>
      <c r="C851" s="41" t="n"/>
      <c r="D851" s="41" t="n"/>
      <c r="E851" s="70" t="n"/>
      <c r="F851" s="71" t="n"/>
      <c r="G851" s="72" t="n"/>
      <c r="H851" s="73" t="n"/>
      <c r="I851" s="74">
        <f>IF(OR(E851="",F851=""),"",E851*F851)</f>
        <v/>
      </c>
      <c r="J851" s="75">
        <f>IF(I851="","",IF(D851="Buy",I851+N(G851),IF(D851="Sell",I851-N(G851),IF(D851="Dividend",I851-N(G851),I851+N(G851)))))</f>
        <v/>
      </c>
      <c r="K851" s="76">
        <f>IF(B851="","",DATE(YEAR(B851),MONTH(B851),1))</f>
        <v/>
      </c>
      <c r="L851" s="77">
        <f>IF(B851="","",YEAR(B851))</f>
        <v/>
      </c>
    </row>
    <row r="852" ht="19" customHeight="1">
      <c r="A852" s="69">
        <f>IF(B852="","",ROW()-5)</f>
        <v/>
      </c>
      <c r="B852" s="43" t="n"/>
      <c r="C852" s="41" t="n"/>
      <c r="D852" s="41" t="n"/>
      <c r="E852" s="70" t="n"/>
      <c r="F852" s="71" t="n"/>
      <c r="G852" s="72" t="n"/>
      <c r="H852" s="73" t="n"/>
      <c r="I852" s="74">
        <f>IF(OR(E852="",F852=""),"",E852*F852)</f>
        <v/>
      </c>
      <c r="J852" s="75">
        <f>IF(I852="","",IF(D852="Buy",I852+N(G852),IF(D852="Sell",I852-N(G852),IF(D852="Dividend",I852-N(G852),I852+N(G852)))))</f>
        <v/>
      </c>
      <c r="K852" s="76">
        <f>IF(B852="","",DATE(YEAR(B852),MONTH(B852),1))</f>
        <v/>
      </c>
      <c r="L852" s="77">
        <f>IF(B852="","",YEAR(B852))</f>
        <v/>
      </c>
    </row>
    <row r="853" ht="19" customHeight="1">
      <c r="A853" s="69">
        <f>IF(B853="","",ROW()-5)</f>
        <v/>
      </c>
      <c r="B853" s="43" t="n"/>
      <c r="C853" s="41" t="n"/>
      <c r="D853" s="41" t="n"/>
      <c r="E853" s="70" t="n"/>
      <c r="F853" s="71" t="n"/>
      <c r="G853" s="72" t="n"/>
      <c r="H853" s="73" t="n"/>
      <c r="I853" s="74">
        <f>IF(OR(E853="",F853=""),"",E853*F853)</f>
        <v/>
      </c>
      <c r="J853" s="75">
        <f>IF(I853="","",IF(D853="Buy",I853+N(G853),IF(D853="Sell",I853-N(G853),IF(D853="Dividend",I853-N(G853),I853+N(G853)))))</f>
        <v/>
      </c>
      <c r="K853" s="76">
        <f>IF(B853="","",DATE(YEAR(B853),MONTH(B853),1))</f>
        <v/>
      </c>
      <c r="L853" s="77">
        <f>IF(B853="","",YEAR(B853))</f>
        <v/>
      </c>
    </row>
    <row r="854" ht="19" customHeight="1">
      <c r="A854" s="69">
        <f>IF(B854="","",ROW()-5)</f>
        <v/>
      </c>
      <c r="B854" s="43" t="n"/>
      <c r="C854" s="41" t="n"/>
      <c r="D854" s="41" t="n"/>
      <c r="E854" s="70" t="n"/>
      <c r="F854" s="71" t="n"/>
      <c r="G854" s="72" t="n"/>
      <c r="H854" s="73" t="n"/>
      <c r="I854" s="74">
        <f>IF(OR(E854="",F854=""),"",E854*F854)</f>
        <v/>
      </c>
      <c r="J854" s="75">
        <f>IF(I854="","",IF(D854="Buy",I854+N(G854),IF(D854="Sell",I854-N(G854),IF(D854="Dividend",I854-N(G854),I854+N(G854)))))</f>
        <v/>
      </c>
      <c r="K854" s="76">
        <f>IF(B854="","",DATE(YEAR(B854),MONTH(B854),1))</f>
        <v/>
      </c>
      <c r="L854" s="77">
        <f>IF(B854="","",YEAR(B854))</f>
        <v/>
      </c>
    </row>
    <row r="855" ht="19" customHeight="1">
      <c r="A855" s="69">
        <f>IF(B855="","",ROW()-5)</f>
        <v/>
      </c>
      <c r="B855" s="43" t="n"/>
      <c r="C855" s="41" t="n"/>
      <c r="D855" s="41" t="n"/>
      <c r="E855" s="70" t="n"/>
      <c r="F855" s="71" t="n"/>
      <c r="G855" s="72" t="n"/>
      <c r="H855" s="73" t="n"/>
      <c r="I855" s="74">
        <f>IF(OR(E855="",F855=""),"",E855*F855)</f>
        <v/>
      </c>
      <c r="J855" s="75">
        <f>IF(I855="","",IF(D855="Buy",I855+N(G855),IF(D855="Sell",I855-N(G855),IF(D855="Dividend",I855-N(G855),I855+N(G855)))))</f>
        <v/>
      </c>
      <c r="K855" s="76">
        <f>IF(B855="","",DATE(YEAR(B855),MONTH(B855),1))</f>
        <v/>
      </c>
      <c r="L855" s="77">
        <f>IF(B855="","",YEAR(B855))</f>
        <v/>
      </c>
    </row>
    <row r="856" ht="19" customHeight="1">
      <c r="A856" s="69">
        <f>IF(B856="","",ROW()-5)</f>
        <v/>
      </c>
      <c r="B856" s="43" t="n"/>
      <c r="C856" s="41" t="n"/>
      <c r="D856" s="41" t="n"/>
      <c r="E856" s="70" t="n"/>
      <c r="F856" s="71" t="n"/>
      <c r="G856" s="72" t="n"/>
      <c r="H856" s="73" t="n"/>
      <c r="I856" s="74">
        <f>IF(OR(E856="",F856=""),"",E856*F856)</f>
        <v/>
      </c>
      <c r="J856" s="75">
        <f>IF(I856="","",IF(D856="Buy",I856+N(G856),IF(D856="Sell",I856-N(G856),IF(D856="Dividend",I856-N(G856),I856+N(G856)))))</f>
        <v/>
      </c>
      <c r="K856" s="76">
        <f>IF(B856="","",DATE(YEAR(B856),MONTH(B856),1))</f>
        <v/>
      </c>
      <c r="L856" s="77">
        <f>IF(B856="","",YEAR(B856))</f>
        <v/>
      </c>
    </row>
    <row r="857" ht="19" customHeight="1">
      <c r="A857" s="69">
        <f>IF(B857="","",ROW()-5)</f>
        <v/>
      </c>
      <c r="B857" s="43" t="n"/>
      <c r="C857" s="41" t="n"/>
      <c r="D857" s="41" t="n"/>
      <c r="E857" s="70" t="n"/>
      <c r="F857" s="71" t="n"/>
      <c r="G857" s="72" t="n"/>
      <c r="H857" s="73" t="n"/>
      <c r="I857" s="74">
        <f>IF(OR(E857="",F857=""),"",E857*F857)</f>
        <v/>
      </c>
      <c r="J857" s="75">
        <f>IF(I857="","",IF(D857="Buy",I857+N(G857),IF(D857="Sell",I857-N(G857),IF(D857="Dividend",I857-N(G857),I857+N(G857)))))</f>
        <v/>
      </c>
      <c r="K857" s="76">
        <f>IF(B857="","",DATE(YEAR(B857),MONTH(B857),1))</f>
        <v/>
      </c>
      <c r="L857" s="77">
        <f>IF(B857="","",YEAR(B857))</f>
        <v/>
      </c>
    </row>
    <row r="858" ht="19" customHeight="1">
      <c r="A858" s="69">
        <f>IF(B858="","",ROW()-5)</f>
        <v/>
      </c>
      <c r="B858" s="43" t="n"/>
      <c r="C858" s="41" t="n"/>
      <c r="D858" s="41" t="n"/>
      <c r="E858" s="70" t="n"/>
      <c r="F858" s="71" t="n"/>
      <c r="G858" s="72" t="n"/>
      <c r="H858" s="73" t="n"/>
      <c r="I858" s="74">
        <f>IF(OR(E858="",F858=""),"",E858*F858)</f>
        <v/>
      </c>
      <c r="J858" s="75">
        <f>IF(I858="","",IF(D858="Buy",I858+N(G858),IF(D858="Sell",I858-N(G858),IF(D858="Dividend",I858-N(G858),I858+N(G858)))))</f>
        <v/>
      </c>
      <c r="K858" s="76">
        <f>IF(B858="","",DATE(YEAR(B858),MONTH(B858),1))</f>
        <v/>
      </c>
      <c r="L858" s="77">
        <f>IF(B858="","",YEAR(B858))</f>
        <v/>
      </c>
    </row>
    <row r="859" ht="19" customHeight="1">
      <c r="A859" s="69">
        <f>IF(B859="","",ROW()-5)</f>
        <v/>
      </c>
      <c r="B859" s="43" t="n"/>
      <c r="C859" s="41" t="n"/>
      <c r="D859" s="41" t="n"/>
      <c r="E859" s="70" t="n"/>
      <c r="F859" s="71" t="n"/>
      <c r="G859" s="72" t="n"/>
      <c r="H859" s="73" t="n"/>
      <c r="I859" s="74">
        <f>IF(OR(E859="",F859=""),"",E859*F859)</f>
        <v/>
      </c>
      <c r="J859" s="75">
        <f>IF(I859="","",IF(D859="Buy",I859+N(G859),IF(D859="Sell",I859-N(G859),IF(D859="Dividend",I859-N(G859),I859+N(G859)))))</f>
        <v/>
      </c>
      <c r="K859" s="76">
        <f>IF(B859="","",DATE(YEAR(B859),MONTH(B859),1))</f>
        <v/>
      </c>
      <c r="L859" s="77">
        <f>IF(B859="","",YEAR(B859))</f>
        <v/>
      </c>
    </row>
    <row r="860" ht="19" customHeight="1">
      <c r="A860" s="69">
        <f>IF(B860="","",ROW()-5)</f>
        <v/>
      </c>
      <c r="B860" s="43" t="n"/>
      <c r="C860" s="41" t="n"/>
      <c r="D860" s="41" t="n"/>
      <c r="E860" s="70" t="n"/>
      <c r="F860" s="71" t="n"/>
      <c r="G860" s="72" t="n"/>
      <c r="H860" s="73" t="n"/>
      <c r="I860" s="74">
        <f>IF(OR(E860="",F860=""),"",E860*F860)</f>
        <v/>
      </c>
      <c r="J860" s="75">
        <f>IF(I860="","",IF(D860="Buy",I860+N(G860),IF(D860="Sell",I860-N(G860),IF(D860="Dividend",I860-N(G860),I860+N(G860)))))</f>
        <v/>
      </c>
      <c r="K860" s="76">
        <f>IF(B860="","",DATE(YEAR(B860),MONTH(B860),1))</f>
        <v/>
      </c>
      <c r="L860" s="77">
        <f>IF(B860="","",YEAR(B860))</f>
        <v/>
      </c>
    </row>
    <row r="861" ht="19" customHeight="1">
      <c r="A861" s="69">
        <f>IF(B861="","",ROW()-5)</f>
        <v/>
      </c>
      <c r="B861" s="43" t="n"/>
      <c r="C861" s="41" t="n"/>
      <c r="D861" s="41" t="n"/>
      <c r="E861" s="70" t="n"/>
      <c r="F861" s="71" t="n"/>
      <c r="G861" s="72" t="n"/>
      <c r="H861" s="73" t="n"/>
      <c r="I861" s="74">
        <f>IF(OR(E861="",F861=""),"",E861*F861)</f>
        <v/>
      </c>
      <c r="J861" s="75">
        <f>IF(I861="","",IF(D861="Buy",I861+N(G861),IF(D861="Sell",I861-N(G861),IF(D861="Dividend",I861-N(G861),I861+N(G861)))))</f>
        <v/>
      </c>
      <c r="K861" s="76">
        <f>IF(B861="","",DATE(YEAR(B861),MONTH(B861),1))</f>
        <v/>
      </c>
      <c r="L861" s="77">
        <f>IF(B861="","",YEAR(B861))</f>
        <v/>
      </c>
    </row>
    <row r="862" ht="19" customHeight="1">
      <c r="A862" s="69">
        <f>IF(B862="","",ROW()-5)</f>
        <v/>
      </c>
      <c r="B862" s="43" t="n"/>
      <c r="C862" s="41" t="n"/>
      <c r="D862" s="41" t="n"/>
      <c r="E862" s="70" t="n"/>
      <c r="F862" s="71" t="n"/>
      <c r="G862" s="72" t="n"/>
      <c r="H862" s="73" t="n"/>
      <c r="I862" s="74">
        <f>IF(OR(E862="",F862=""),"",E862*F862)</f>
        <v/>
      </c>
      <c r="J862" s="75">
        <f>IF(I862="","",IF(D862="Buy",I862+N(G862),IF(D862="Sell",I862-N(G862),IF(D862="Dividend",I862-N(G862),I862+N(G862)))))</f>
        <v/>
      </c>
      <c r="K862" s="76">
        <f>IF(B862="","",DATE(YEAR(B862),MONTH(B862),1))</f>
        <v/>
      </c>
      <c r="L862" s="77">
        <f>IF(B862="","",YEAR(B862))</f>
        <v/>
      </c>
    </row>
    <row r="863" ht="19" customHeight="1">
      <c r="A863" s="69">
        <f>IF(B863="","",ROW()-5)</f>
        <v/>
      </c>
      <c r="B863" s="43" t="n"/>
      <c r="C863" s="41" t="n"/>
      <c r="D863" s="41" t="n"/>
      <c r="E863" s="70" t="n"/>
      <c r="F863" s="71" t="n"/>
      <c r="G863" s="72" t="n"/>
      <c r="H863" s="73" t="n"/>
      <c r="I863" s="74">
        <f>IF(OR(E863="",F863=""),"",E863*F863)</f>
        <v/>
      </c>
      <c r="J863" s="75">
        <f>IF(I863="","",IF(D863="Buy",I863+N(G863),IF(D863="Sell",I863-N(G863),IF(D863="Dividend",I863-N(G863),I863+N(G863)))))</f>
        <v/>
      </c>
      <c r="K863" s="76">
        <f>IF(B863="","",DATE(YEAR(B863),MONTH(B863),1))</f>
        <v/>
      </c>
      <c r="L863" s="77">
        <f>IF(B863="","",YEAR(B863))</f>
        <v/>
      </c>
    </row>
    <row r="864" ht="19" customHeight="1">
      <c r="A864" s="69">
        <f>IF(B864="","",ROW()-5)</f>
        <v/>
      </c>
      <c r="B864" s="43" t="n"/>
      <c r="C864" s="41" t="n"/>
      <c r="D864" s="41" t="n"/>
      <c r="E864" s="70" t="n"/>
      <c r="F864" s="71" t="n"/>
      <c r="G864" s="72" t="n"/>
      <c r="H864" s="73" t="n"/>
      <c r="I864" s="74">
        <f>IF(OR(E864="",F864=""),"",E864*F864)</f>
        <v/>
      </c>
      <c r="J864" s="75">
        <f>IF(I864="","",IF(D864="Buy",I864+N(G864),IF(D864="Sell",I864-N(G864),IF(D864="Dividend",I864-N(G864),I864+N(G864)))))</f>
        <v/>
      </c>
      <c r="K864" s="76">
        <f>IF(B864="","",DATE(YEAR(B864),MONTH(B864),1))</f>
        <v/>
      </c>
      <c r="L864" s="77">
        <f>IF(B864="","",YEAR(B864))</f>
        <v/>
      </c>
    </row>
    <row r="865" ht="19" customHeight="1">
      <c r="A865" s="69">
        <f>IF(B865="","",ROW()-5)</f>
        <v/>
      </c>
      <c r="B865" s="43" t="n"/>
      <c r="C865" s="41" t="n"/>
      <c r="D865" s="41" t="n"/>
      <c r="E865" s="70" t="n"/>
      <c r="F865" s="71" t="n"/>
      <c r="G865" s="72" t="n"/>
      <c r="H865" s="73" t="n"/>
      <c r="I865" s="74">
        <f>IF(OR(E865="",F865=""),"",E865*F865)</f>
        <v/>
      </c>
      <c r="J865" s="75">
        <f>IF(I865="","",IF(D865="Buy",I865+N(G865),IF(D865="Sell",I865-N(G865),IF(D865="Dividend",I865-N(G865),I865+N(G865)))))</f>
        <v/>
      </c>
      <c r="K865" s="76">
        <f>IF(B865="","",DATE(YEAR(B865),MONTH(B865),1))</f>
        <v/>
      </c>
      <c r="L865" s="77">
        <f>IF(B865="","",YEAR(B865))</f>
        <v/>
      </c>
    </row>
    <row r="866" ht="19" customHeight="1">
      <c r="A866" s="69">
        <f>IF(B866="","",ROW()-5)</f>
        <v/>
      </c>
      <c r="B866" s="43" t="n"/>
      <c r="C866" s="41" t="n"/>
      <c r="D866" s="41" t="n"/>
      <c r="E866" s="70" t="n"/>
      <c r="F866" s="71" t="n"/>
      <c r="G866" s="72" t="n"/>
      <c r="H866" s="73" t="n"/>
      <c r="I866" s="74">
        <f>IF(OR(E866="",F866=""),"",E866*F866)</f>
        <v/>
      </c>
      <c r="J866" s="75">
        <f>IF(I866="","",IF(D866="Buy",I866+N(G866),IF(D866="Sell",I866-N(G866),IF(D866="Dividend",I866-N(G866),I866+N(G866)))))</f>
        <v/>
      </c>
      <c r="K866" s="76">
        <f>IF(B866="","",DATE(YEAR(B866),MONTH(B866),1))</f>
        <v/>
      </c>
      <c r="L866" s="77">
        <f>IF(B866="","",YEAR(B866))</f>
        <v/>
      </c>
    </row>
    <row r="867" ht="19" customHeight="1">
      <c r="A867" s="69">
        <f>IF(B867="","",ROW()-5)</f>
        <v/>
      </c>
      <c r="B867" s="43" t="n"/>
      <c r="C867" s="41" t="n"/>
      <c r="D867" s="41" t="n"/>
      <c r="E867" s="70" t="n"/>
      <c r="F867" s="71" t="n"/>
      <c r="G867" s="72" t="n"/>
      <c r="H867" s="73" t="n"/>
      <c r="I867" s="74">
        <f>IF(OR(E867="",F867=""),"",E867*F867)</f>
        <v/>
      </c>
      <c r="J867" s="75">
        <f>IF(I867="","",IF(D867="Buy",I867+N(G867),IF(D867="Sell",I867-N(G867),IF(D867="Dividend",I867-N(G867),I867+N(G867)))))</f>
        <v/>
      </c>
      <c r="K867" s="76">
        <f>IF(B867="","",DATE(YEAR(B867),MONTH(B867),1))</f>
        <v/>
      </c>
      <c r="L867" s="77">
        <f>IF(B867="","",YEAR(B867))</f>
        <v/>
      </c>
    </row>
    <row r="868" ht="19" customHeight="1">
      <c r="A868" s="69">
        <f>IF(B868="","",ROW()-5)</f>
        <v/>
      </c>
      <c r="B868" s="43" t="n"/>
      <c r="C868" s="41" t="n"/>
      <c r="D868" s="41" t="n"/>
      <c r="E868" s="70" t="n"/>
      <c r="F868" s="71" t="n"/>
      <c r="G868" s="72" t="n"/>
      <c r="H868" s="73" t="n"/>
      <c r="I868" s="74">
        <f>IF(OR(E868="",F868=""),"",E868*F868)</f>
        <v/>
      </c>
      <c r="J868" s="75">
        <f>IF(I868="","",IF(D868="Buy",I868+N(G868),IF(D868="Sell",I868-N(G868),IF(D868="Dividend",I868-N(G868),I868+N(G868)))))</f>
        <v/>
      </c>
      <c r="K868" s="76">
        <f>IF(B868="","",DATE(YEAR(B868),MONTH(B868),1))</f>
        <v/>
      </c>
      <c r="L868" s="77">
        <f>IF(B868="","",YEAR(B868))</f>
        <v/>
      </c>
    </row>
    <row r="869" ht="19" customHeight="1">
      <c r="A869" s="69">
        <f>IF(B869="","",ROW()-5)</f>
        <v/>
      </c>
      <c r="B869" s="43" t="n"/>
      <c r="C869" s="41" t="n"/>
      <c r="D869" s="41" t="n"/>
      <c r="E869" s="70" t="n"/>
      <c r="F869" s="71" t="n"/>
      <c r="G869" s="72" t="n"/>
      <c r="H869" s="73" t="n"/>
      <c r="I869" s="74">
        <f>IF(OR(E869="",F869=""),"",E869*F869)</f>
        <v/>
      </c>
      <c r="J869" s="75">
        <f>IF(I869="","",IF(D869="Buy",I869+N(G869),IF(D869="Sell",I869-N(G869),IF(D869="Dividend",I869-N(G869),I869+N(G869)))))</f>
        <v/>
      </c>
      <c r="K869" s="76">
        <f>IF(B869="","",DATE(YEAR(B869),MONTH(B869),1))</f>
        <v/>
      </c>
      <c r="L869" s="77">
        <f>IF(B869="","",YEAR(B869))</f>
        <v/>
      </c>
    </row>
    <row r="870" ht="19" customHeight="1">
      <c r="A870" s="69">
        <f>IF(B870="","",ROW()-5)</f>
        <v/>
      </c>
      <c r="B870" s="43" t="n"/>
      <c r="C870" s="41" t="n"/>
      <c r="D870" s="41" t="n"/>
      <c r="E870" s="70" t="n"/>
      <c r="F870" s="71" t="n"/>
      <c r="G870" s="72" t="n"/>
      <c r="H870" s="73" t="n"/>
      <c r="I870" s="74">
        <f>IF(OR(E870="",F870=""),"",E870*F870)</f>
        <v/>
      </c>
      <c r="J870" s="75">
        <f>IF(I870="","",IF(D870="Buy",I870+N(G870),IF(D870="Sell",I870-N(G870),IF(D870="Dividend",I870-N(G870),I870+N(G870)))))</f>
        <v/>
      </c>
      <c r="K870" s="76">
        <f>IF(B870="","",DATE(YEAR(B870),MONTH(B870),1))</f>
        <v/>
      </c>
      <c r="L870" s="77">
        <f>IF(B870="","",YEAR(B870))</f>
        <v/>
      </c>
    </row>
    <row r="871" ht="19" customHeight="1">
      <c r="A871" s="69">
        <f>IF(B871="","",ROW()-5)</f>
        <v/>
      </c>
      <c r="B871" s="43" t="n"/>
      <c r="C871" s="41" t="n"/>
      <c r="D871" s="41" t="n"/>
      <c r="E871" s="70" t="n"/>
      <c r="F871" s="71" t="n"/>
      <c r="G871" s="72" t="n"/>
      <c r="H871" s="73" t="n"/>
      <c r="I871" s="74">
        <f>IF(OR(E871="",F871=""),"",E871*F871)</f>
        <v/>
      </c>
      <c r="J871" s="75">
        <f>IF(I871="","",IF(D871="Buy",I871+N(G871),IF(D871="Sell",I871-N(G871),IF(D871="Dividend",I871-N(G871),I871+N(G871)))))</f>
        <v/>
      </c>
      <c r="K871" s="76">
        <f>IF(B871="","",DATE(YEAR(B871),MONTH(B871),1))</f>
        <v/>
      </c>
      <c r="L871" s="77">
        <f>IF(B871="","",YEAR(B871))</f>
        <v/>
      </c>
    </row>
    <row r="872" ht="19" customHeight="1">
      <c r="A872" s="69">
        <f>IF(B872="","",ROW()-5)</f>
        <v/>
      </c>
      <c r="B872" s="43" t="n"/>
      <c r="C872" s="41" t="n"/>
      <c r="D872" s="41" t="n"/>
      <c r="E872" s="70" t="n"/>
      <c r="F872" s="71" t="n"/>
      <c r="G872" s="72" t="n"/>
      <c r="H872" s="73" t="n"/>
      <c r="I872" s="74">
        <f>IF(OR(E872="",F872=""),"",E872*F872)</f>
        <v/>
      </c>
      <c r="J872" s="75">
        <f>IF(I872="","",IF(D872="Buy",I872+N(G872),IF(D872="Sell",I872-N(G872),IF(D872="Dividend",I872-N(G872),I872+N(G872)))))</f>
        <v/>
      </c>
      <c r="K872" s="76">
        <f>IF(B872="","",DATE(YEAR(B872),MONTH(B872),1))</f>
        <v/>
      </c>
      <c r="L872" s="77">
        <f>IF(B872="","",YEAR(B872))</f>
        <v/>
      </c>
    </row>
    <row r="873" ht="19" customHeight="1">
      <c r="A873" s="69">
        <f>IF(B873="","",ROW()-5)</f>
        <v/>
      </c>
      <c r="B873" s="43" t="n"/>
      <c r="C873" s="41" t="n"/>
      <c r="D873" s="41" t="n"/>
      <c r="E873" s="70" t="n"/>
      <c r="F873" s="71" t="n"/>
      <c r="G873" s="72" t="n"/>
      <c r="H873" s="73" t="n"/>
      <c r="I873" s="74">
        <f>IF(OR(E873="",F873=""),"",E873*F873)</f>
        <v/>
      </c>
      <c r="J873" s="75">
        <f>IF(I873="","",IF(D873="Buy",I873+N(G873),IF(D873="Sell",I873-N(G873),IF(D873="Dividend",I873-N(G873),I873+N(G873)))))</f>
        <v/>
      </c>
      <c r="K873" s="76">
        <f>IF(B873="","",DATE(YEAR(B873),MONTH(B873),1))</f>
        <v/>
      </c>
      <c r="L873" s="77">
        <f>IF(B873="","",YEAR(B873))</f>
        <v/>
      </c>
    </row>
    <row r="874" ht="19" customHeight="1">
      <c r="A874" s="69">
        <f>IF(B874="","",ROW()-5)</f>
        <v/>
      </c>
      <c r="B874" s="43" t="n"/>
      <c r="C874" s="41" t="n"/>
      <c r="D874" s="41" t="n"/>
      <c r="E874" s="70" t="n"/>
      <c r="F874" s="71" t="n"/>
      <c r="G874" s="72" t="n"/>
      <c r="H874" s="73" t="n"/>
      <c r="I874" s="74">
        <f>IF(OR(E874="",F874=""),"",E874*F874)</f>
        <v/>
      </c>
      <c r="J874" s="75">
        <f>IF(I874="","",IF(D874="Buy",I874+N(G874),IF(D874="Sell",I874-N(G874),IF(D874="Dividend",I874-N(G874),I874+N(G874)))))</f>
        <v/>
      </c>
      <c r="K874" s="76">
        <f>IF(B874="","",DATE(YEAR(B874),MONTH(B874),1))</f>
        <v/>
      </c>
      <c r="L874" s="77">
        <f>IF(B874="","",YEAR(B874))</f>
        <v/>
      </c>
    </row>
    <row r="875" ht="19" customHeight="1">
      <c r="A875" s="69">
        <f>IF(B875="","",ROW()-5)</f>
        <v/>
      </c>
      <c r="B875" s="43" t="n"/>
      <c r="C875" s="41" t="n"/>
      <c r="D875" s="41" t="n"/>
      <c r="E875" s="70" t="n"/>
      <c r="F875" s="71" t="n"/>
      <c r="G875" s="72" t="n"/>
      <c r="H875" s="73" t="n"/>
      <c r="I875" s="74">
        <f>IF(OR(E875="",F875=""),"",E875*F875)</f>
        <v/>
      </c>
      <c r="J875" s="75">
        <f>IF(I875="","",IF(D875="Buy",I875+N(G875),IF(D875="Sell",I875-N(G875),IF(D875="Dividend",I875-N(G875),I875+N(G875)))))</f>
        <v/>
      </c>
      <c r="K875" s="76">
        <f>IF(B875="","",DATE(YEAR(B875),MONTH(B875),1))</f>
        <v/>
      </c>
      <c r="L875" s="77">
        <f>IF(B875="","",YEAR(B875))</f>
        <v/>
      </c>
    </row>
    <row r="876" ht="19" customHeight="1">
      <c r="A876" s="69">
        <f>IF(B876="","",ROW()-5)</f>
        <v/>
      </c>
      <c r="B876" s="43" t="n"/>
      <c r="C876" s="41" t="n"/>
      <c r="D876" s="41" t="n"/>
      <c r="E876" s="70" t="n"/>
      <c r="F876" s="71" t="n"/>
      <c r="G876" s="72" t="n"/>
      <c r="H876" s="73" t="n"/>
      <c r="I876" s="74">
        <f>IF(OR(E876="",F876=""),"",E876*F876)</f>
        <v/>
      </c>
      <c r="J876" s="75">
        <f>IF(I876="","",IF(D876="Buy",I876+N(G876),IF(D876="Sell",I876-N(G876),IF(D876="Dividend",I876-N(G876),I876+N(G876)))))</f>
        <v/>
      </c>
      <c r="K876" s="76">
        <f>IF(B876="","",DATE(YEAR(B876),MONTH(B876),1))</f>
        <v/>
      </c>
      <c r="L876" s="77">
        <f>IF(B876="","",YEAR(B876))</f>
        <v/>
      </c>
    </row>
    <row r="877" ht="19" customHeight="1">
      <c r="A877" s="69">
        <f>IF(B877="","",ROW()-5)</f>
        <v/>
      </c>
      <c r="B877" s="43" t="n"/>
      <c r="C877" s="41" t="n"/>
      <c r="D877" s="41" t="n"/>
      <c r="E877" s="70" t="n"/>
      <c r="F877" s="71" t="n"/>
      <c r="G877" s="72" t="n"/>
      <c r="H877" s="73" t="n"/>
      <c r="I877" s="74">
        <f>IF(OR(E877="",F877=""),"",E877*F877)</f>
        <v/>
      </c>
      <c r="J877" s="75">
        <f>IF(I877="","",IF(D877="Buy",I877+N(G877),IF(D877="Sell",I877-N(G877),IF(D877="Dividend",I877-N(G877),I877+N(G877)))))</f>
        <v/>
      </c>
      <c r="K877" s="76">
        <f>IF(B877="","",DATE(YEAR(B877),MONTH(B877),1))</f>
        <v/>
      </c>
      <c r="L877" s="77">
        <f>IF(B877="","",YEAR(B877))</f>
        <v/>
      </c>
    </row>
    <row r="878" ht="19" customHeight="1">
      <c r="A878" s="69">
        <f>IF(B878="","",ROW()-5)</f>
        <v/>
      </c>
      <c r="B878" s="43" t="n"/>
      <c r="C878" s="41" t="n"/>
      <c r="D878" s="41" t="n"/>
      <c r="E878" s="70" t="n"/>
      <c r="F878" s="71" t="n"/>
      <c r="G878" s="72" t="n"/>
      <c r="H878" s="73" t="n"/>
      <c r="I878" s="74">
        <f>IF(OR(E878="",F878=""),"",E878*F878)</f>
        <v/>
      </c>
      <c r="J878" s="75">
        <f>IF(I878="","",IF(D878="Buy",I878+N(G878),IF(D878="Sell",I878-N(G878),IF(D878="Dividend",I878-N(G878),I878+N(G878)))))</f>
        <v/>
      </c>
      <c r="K878" s="76">
        <f>IF(B878="","",DATE(YEAR(B878),MONTH(B878),1))</f>
        <v/>
      </c>
      <c r="L878" s="77">
        <f>IF(B878="","",YEAR(B878))</f>
        <v/>
      </c>
    </row>
    <row r="879" ht="19" customHeight="1">
      <c r="A879" s="69">
        <f>IF(B879="","",ROW()-5)</f>
        <v/>
      </c>
      <c r="B879" s="43" t="n"/>
      <c r="C879" s="41" t="n"/>
      <c r="D879" s="41" t="n"/>
      <c r="E879" s="70" t="n"/>
      <c r="F879" s="71" t="n"/>
      <c r="G879" s="72" t="n"/>
      <c r="H879" s="73" t="n"/>
      <c r="I879" s="74">
        <f>IF(OR(E879="",F879=""),"",E879*F879)</f>
        <v/>
      </c>
      <c r="J879" s="75">
        <f>IF(I879="","",IF(D879="Buy",I879+N(G879),IF(D879="Sell",I879-N(G879),IF(D879="Dividend",I879-N(G879),I879+N(G879)))))</f>
        <v/>
      </c>
      <c r="K879" s="76">
        <f>IF(B879="","",DATE(YEAR(B879),MONTH(B879),1))</f>
        <v/>
      </c>
      <c r="L879" s="77">
        <f>IF(B879="","",YEAR(B879))</f>
        <v/>
      </c>
    </row>
    <row r="880" ht="19" customHeight="1">
      <c r="A880" s="69">
        <f>IF(B880="","",ROW()-5)</f>
        <v/>
      </c>
      <c r="B880" s="43" t="n"/>
      <c r="C880" s="41" t="n"/>
      <c r="D880" s="41" t="n"/>
      <c r="E880" s="70" t="n"/>
      <c r="F880" s="71" t="n"/>
      <c r="G880" s="72" t="n"/>
      <c r="H880" s="73" t="n"/>
      <c r="I880" s="74">
        <f>IF(OR(E880="",F880=""),"",E880*F880)</f>
        <v/>
      </c>
      <c r="J880" s="75">
        <f>IF(I880="","",IF(D880="Buy",I880+N(G880),IF(D880="Sell",I880-N(G880),IF(D880="Dividend",I880-N(G880),I880+N(G880)))))</f>
        <v/>
      </c>
      <c r="K880" s="76">
        <f>IF(B880="","",DATE(YEAR(B880),MONTH(B880),1))</f>
        <v/>
      </c>
      <c r="L880" s="77">
        <f>IF(B880="","",YEAR(B880))</f>
        <v/>
      </c>
    </row>
    <row r="881" ht="19" customHeight="1">
      <c r="A881" s="69">
        <f>IF(B881="","",ROW()-5)</f>
        <v/>
      </c>
      <c r="B881" s="43" t="n"/>
      <c r="C881" s="41" t="n"/>
      <c r="D881" s="41" t="n"/>
      <c r="E881" s="70" t="n"/>
      <c r="F881" s="71" t="n"/>
      <c r="G881" s="72" t="n"/>
      <c r="H881" s="73" t="n"/>
      <c r="I881" s="74">
        <f>IF(OR(E881="",F881=""),"",E881*F881)</f>
        <v/>
      </c>
      <c r="J881" s="75">
        <f>IF(I881="","",IF(D881="Buy",I881+N(G881),IF(D881="Sell",I881-N(G881),IF(D881="Dividend",I881-N(G881),I881+N(G881)))))</f>
        <v/>
      </c>
      <c r="K881" s="76">
        <f>IF(B881="","",DATE(YEAR(B881),MONTH(B881),1))</f>
        <v/>
      </c>
      <c r="L881" s="77">
        <f>IF(B881="","",YEAR(B881))</f>
        <v/>
      </c>
    </row>
    <row r="882" ht="19" customHeight="1">
      <c r="A882" s="69">
        <f>IF(B882="","",ROW()-5)</f>
        <v/>
      </c>
      <c r="B882" s="43" t="n"/>
      <c r="C882" s="41" t="n"/>
      <c r="D882" s="41" t="n"/>
      <c r="E882" s="70" t="n"/>
      <c r="F882" s="71" t="n"/>
      <c r="G882" s="72" t="n"/>
      <c r="H882" s="73" t="n"/>
      <c r="I882" s="74">
        <f>IF(OR(E882="",F882=""),"",E882*F882)</f>
        <v/>
      </c>
      <c r="J882" s="75">
        <f>IF(I882="","",IF(D882="Buy",I882+N(G882),IF(D882="Sell",I882-N(G882),IF(D882="Dividend",I882-N(G882),I882+N(G882)))))</f>
        <v/>
      </c>
      <c r="K882" s="76">
        <f>IF(B882="","",DATE(YEAR(B882),MONTH(B882),1))</f>
        <v/>
      </c>
      <c r="L882" s="77">
        <f>IF(B882="","",YEAR(B882))</f>
        <v/>
      </c>
    </row>
    <row r="883" ht="19" customHeight="1">
      <c r="A883" s="69">
        <f>IF(B883="","",ROW()-5)</f>
        <v/>
      </c>
      <c r="B883" s="43" t="n"/>
      <c r="C883" s="41" t="n"/>
      <c r="D883" s="41" t="n"/>
      <c r="E883" s="70" t="n"/>
      <c r="F883" s="71" t="n"/>
      <c r="G883" s="72" t="n"/>
      <c r="H883" s="73" t="n"/>
      <c r="I883" s="74">
        <f>IF(OR(E883="",F883=""),"",E883*F883)</f>
        <v/>
      </c>
      <c r="J883" s="75">
        <f>IF(I883="","",IF(D883="Buy",I883+N(G883),IF(D883="Sell",I883-N(G883),IF(D883="Dividend",I883-N(G883),I883+N(G883)))))</f>
        <v/>
      </c>
      <c r="K883" s="76">
        <f>IF(B883="","",DATE(YEAR(B883),MONTH(B883),1))</f>
        <v/>
      </c>
      <c r="L883" s="77">
        <f>IF(B883="","",YEAR(B883))</f>
        <v/>
      </c>
    </row>
    <row r="884" ht="19" customHeight="1">
      <c r="A884" s="69">
        <f>IF(B884="","",ROW()-5)</f>
        <v/>
      </c>
      <c r="B884" s="43" t="n"/>
      <c r="C884" s="41" t="n"/>
      <c r="D884" s="41" t="n"/>
      <c r="E884" s="70" t="n"/>
      <c r="F884" s="71" t="n"/>
      <c r="G884" s="72" t="n"/>
      <c r="H884" s="73" t="n"/>
      <c r="I884" s="74">
        <f>IF(OR(E884="",F884=""),"",E884*F884)</f>
        <v/>
      </c>
      <c r="J884" s="75">
        <f>IF(I884="","",IF(D884="Buy",I884+N(G884),IF(D884="Sell",I884-N(G884),IF(D884="Dividend",I884-N(G884),I884+N(G884)))))</f>
        <v/>
      </c>
      <c r="K884" s="76">
        <f>IF(B884="","",DATE(YEAR(B884),MONTH(B884),1))</f>
        <v/>
      </c>
      <c r="L884" s="77">
        <f>IF(B884="","",YEAR(B884))</f>
        <v/>
      </c>
    </row>
    <row r="885" ht="19" customHeight="1">
      <c r="A885" s="69">
        <f>IF(B885="","",ROW()-5)</f>
        <v/>
      </c>
      <c r="B885" s="43" t="n"/>
      <c r="C885" s="41" t="n"/>
      <c r="D885" s="41" t="n"/>
      <c r="E885" s="70" t="n"/>
      <c r="F885" s="71" t="n"/>
      <c r="G885" s="72" t="n"/>
      <c r="H885" s="73" t="n"/>
      <c r="I885" s="74">
        <f>IF(OR(E885="",F885=""),"",E885*F885)</f>
        <v/>
      </c>
      <c r="J885" s="75">
        <f>IF(I885="","",IF(D885="Buy",I885+N(G885),IF(D885="Sell",I885-N(G885),IF(D885="Dividend",I885-N(G885),I885+N(G885)))))</f>
        <v/>
      </c>
      <c r="K885" s="76">
        <f>IF(B885="","",DATE(YEAR(B885),MONTH(B885),1))</f>
        <v/>
      </c>
      <c r="L885" s="77">
        <f>IF(B885="","",YEAR(B885))</f>
        <v/>
      </c>
    </row>
    <row r="886" ht="19" customHeight="1">
      <c r="A886" s="69">
        <f>IF(B886="","",ROW()-5)</f>
        <v/>
      </c>
      <c r="B886" s="43" t="n"/>
      <c r="C886" s="41" t="n"/>
      <c r="D886" s="41" t="n"/>
      <c r="E886" s="70" t="n"/>
      <c r="F886" s="71" t="n"/>
      <c r="G886" s="72" t="n"/>
      <c r="H886" s="73" t="n"/>
      <c r="I886" s="74">
        <f>IF(OR(E886="",F886=""),"",E886*F886)</f>
        <v/>
      </c>
      <c r="J886" s="75">
        <f>IF(I886="","",IF(D886="Buy",I886+N(G886),IF(D886="Sell",I886-N(G886),IF(D886="Dividend",I886-N(G886),I886+N(G886)))))</f>
        <v/>
      </c>
      <c r="K886" s="76">
        <f>IF(B886="","",DATE(YEAR(B886),MONTH(B886),1))</f>
        <v/>
      </c>
      <c r="L886" s="77">
        <f>IF(B886="","",YEAR(B886))</f>
        <v/>
      </c>
    </row>
    <row r="887" ht="19" customHeight="1">
      <c r="A887" s="69">
        <f>IF(B887="","",ROW()-5)</f>
        <v/>
      </c>
      <c r="B887" s="43" t="n"/>
      <c r="C887" s="41" t="n"/>
      <c r="D887" s="41" t="n"/>
      <c r="E887" s="70" t="n"/>
      <c r="F887" s="71" t="n"/>
      <c r="G887" s="72" t="n"/>
      <c r="H887" s="73" t="n"/>
      <c r="I887" s="74">
        <f>IF(OR(E887="",F887=""),"",E887*F887)</f>
        <v/>
      </c>
      <c r="J887" s="75">
        <f>IF(I887="","",IF(D887="Buy",I887+N(G887),IF(D887="Sell",I887-N(G887),IF(D887="Dividend",I887-N(G887),I887+N(G887)))))</f>
        <v/>
      </c>
      <c r="K887" s="76">
        <f>IF(B887="","",DATE(YEAR(B887),MONTH(B887),1))</f>
        <v/>
      </c>
      <c r="L887" s="77">
        <f>IF(B887="","",YEAR(B887))</f>
        <v/>
      </c>
    </row>
    <row r="888" ht="19" customHeight="1">
      <c r="A888" s="69">
        <f>IF(B888="","",ROW()-5)</f>
        <v/>
      </c>
      <c r="B888" s="43" t="n"/>
      <c r="C888" s="41" t="n"/>
      <c r="D888" s="41" t="n"/>
      <c r="E888" s="70" t="n"/>
      <c r="F888" s="71" t="n"/>
      <c r="G888" s="72" t="n"/>
      <c r="H888" s="73" t="n"/>
      <c r="I888" s="74">
        <f>IF(OR(E888="",F888=""),"",E888*F888)</f>
        <v/>
      </c>
      <c r="J888" s="75">
        <f>IF(I888="","",IF(D888="Buy",I888+N(G888),IF(D888="Sell",I888-N(G888),IF(D888="Dividend",I888-N(G888),I888+N(G888)))))</f>
        <v/>
      </c>
      <c r="K888" s="76">
        <f>IF(B888="","",DATE(YEAR(B888),MONTH(B888),1))</f>
        <v/>
      </c>
      <c r="L888" s="77">
        <f>IF(B888="","",YEAR(B888))</f>
        <v/>
      </c>
    </row>
    <row r="889" ht="19" customHeight="1">
      <c r="A889" s="69">
        <f>IF(B889="","",ROW()-5)</f>
        <v/>
      </c>
      <c r="B889" s="43" t="n"/>
      <c r="C889" s="41" t="n"/>
      <c r="D889" s="41" t="n"/>
      <c r="E889" s="70" t="n"/>
      <c r="F889" s="71" t="n"/>
      <c r="G889" s="72" t="n"/>
      <c r="H889" s="73" t="n"/>
      <c r="I889" s="74">
        <f>IF(OR(E889="",F889=""),"",E889*F889)</f>
        <v/>
      </c>
      <c r="J889" s="75">
        <f>IF(I889="","",IF(D889="Buy",I889+N(G889),IF(D889="Sell",I889-N(G889),IF(D889="Dividend",I889-N(G889),I889+N(G889)))))</f>
        <v/>
      </c>
      <c r="K889" s="76">
        <f>IF(B889="","",DATE(YEAR(B889),MONTH(B889),1))</f>
        <v/>
      </c>
      <c r="L889" s="77">
        <f>IF(B889="","",YEAR(B889))</f>
        <v/>
      </c>
    </row>
    <row r="890" ht="19" customHeight="1">
      <c r="A890" s="69">
        <f>IF(B890="","",ROW()-5)</f>
        <v/>
      </c>
      <c r="B890" s="43" t="n"/>
      <c r="C890" s="41" t="n"/>
      <c r="D890" s="41" t="n"/>
      <c r="E890" s="70" t="n"/>
      <c r="F890" s="71" t="n"/>
      <c r="G890" s="72" t="n"/>
      <c r="H890" s="73" t="n"/>
      <c r="I890" s="74">
        <f>IF(OR(E890="",F890=""),"",E890*F890)</f>
        <v/>
      </c>
      <c r="J890" s="75">
        <f>IF(I890="","",IF(D890="Buy",I890+N(G890),IF(D890="Sell",I890-N(G890),IF(D890="Dividend",I890-N(G890),I890+N(G890)))))</f>
        <v/>
      </c>
      <c r="K890" s="76">
        <f>IF(B890="","",DATE(YEAR(B890),MONTH(B890),1))</f>
        <v/>
      </c>
      <c r="L890" s="77">
        <f>IF(B890="","",YEAR(B890))</f>
        <v/>
      </c>
    </row>
    <row r="891" ht="19" customHeight="1">
      <c r="A891" s="69">
        <f>IF(B891="","",ROW()-5)</f>
        <v/>
      </c>
      <c r="B891" s="43" t="n"/>
      <c r="C891" s="41" t="n"/>
      <c r="D891" s="41" t="n"/>
      <c r="E891" s="70" t="n"/>
      <c r="F891" s="71" t="n"/>
      <c r="G891" s="72" t="n"/>
      <c r="H891" s="73" t="n"/>
      <c r="I891" s="74">
        <f>IF(OR(E891="",F891=""),"",E891*F891)</f>
        <v/>
      </c>
      <c r="J891" s="75">
        <f>IF(I891="","",IF(D891="Buy",I891+N(G891),IF(D891="Sell",I891-N(G891),IF(D891="Dividend",I891-N(G891),I891+N(G891)))))</f>
        <v/>
      </c>
      <c r="K891" s="76">
        <f>IF(B891="","",DATE(YEAR(B891),MONTH(B891),1))</f>
        <v/>
      </c>
      <c r="L891" s="77">
        <f>IF(B891="","",YEAR(B891))</f>
        <v/>
      </c>
    </row>
    <row r="892" ht="19" customHeight="1">
      <c r="A892" s="69">
        <f>IF(B892="","",ROW()-5)</f>
        <v/>
      </c>
      <c r="B892" s="43" t="n"/>
      <c r="C892" s="41" t="n"/>
      <c r="D892" s="41" t="n"/>
      <c r="E892" s="70" t="n"/>
      <c r="F892" s="71" t="n"/>
      <c r="G892" s="72" t="n"/>
      <c r="H892" s="73" t="n"/>
      <c r="I892" s="74">
        <f>IF(OR(E892="",F892=""),"",E892*F892)</f>
        <v/>
      </c>
      <c r="J892" s="75">
        <f>IF(I892="","",IF(D892="Buy",I892+N(G892),IF(D892="Sell",I892-N(G892),IF(D892="Dividend",I892-N(G892),I892+N(G892)))))</f>
        <v/>
      </c>
      <c r="K892" s="76">
        <f>IF(B892="","",DATE(YEAR(B892),MONTH(B892),1))</f>
        <v/>
      </c>
      <c r="L892" s="77">
        <f>IF(B892="","",YEAR(B892))</f>
        <v/>
      </c>
    </row>
    <row r="893" ht="19" customHeight="1">
      <c r="A893" s="69">
        <f>IF(B893="","",ROW()-5)</f>
        <v/>
      </c>
      <c r="B893" s="43" t="n"/>
      <c r="C893" s="41" t="n"/>
      <c r="D893" s="41" t="n"/>
      <c r="E893" s="70" t="n"/>
      <c r="F893" s="71" t="n"/>
      <c r="G893" s="72" t="n"/>
      <c r="H893" s="73" t="n"/>
      <c r="I893" s="74">
        <f>IF(OR(E893="",F893=""),"",E893*F893)</f>
        <v/>
      </c>
      <c r="J893" s="75">
        <f>IF(I893="","",IF(D893="Buy",I893+N(G893),IF(D893="Sell",I893-N(G893),IF(D893="Dividend",I893-N(G893),I893+N(G893)))))</f>
        <v/>
      </c>
      <c r="K893" s="76">
        <f>IF(B893="","",DATE(YEAR(B893),MONTH(B893),1))</f>
        <v/>
      </c>
      <c r="L893" s="77">
        <f>IF(B893="","",YEAR(B893))</f>
        <v/>
      </c>
    </row>
    <row r="894" ht="19" customHeight="1">
      <c r="A894" s="69">
        <f>IF(B894="","",ROW()-5)</f>
        <v/>
      </c>
      <c r="B894" s="43" t="n"/>
      <c r="C894" s="41" t="n"/>
      <c r="D894" s="41" t="n"/>
      <c r="E894" s="70" t="n"/>
      <c r="F894" s="71" t="n"/>
      <c r="G894" s="72" t="n"/>
      <c r="H894" s="73" t="n"/>
      <c r="I894" s="74">
        <f>IF(OR(E894="",F894=""),"",E894*F894)</f>
        <v/>
      </c>
      <c r="J894" s="75">
        <f>IF(I894="","",IF(D894="Buy",I894+N(G894),IF(D894="Sell",I894-N(G894),IF(D894="Dividend",I894-N(G894),I894+N(G894)))))</f>
        <v/>
      </c>
      <c r="K894" s="76">
        <f>IF(B894="","",DATE(YEAR(B894),MONTH(B894),1))</f>
        <v/>
      </c>
      <c r="L894" s="77">
        <f>IF(B894="","",YEAR(B894))</f>
        <v/>
      </c>
    </row>
    <row r="895" ht="19" customHeight="1">
      <c r="A895" s="69">
        <f>IF(B895="","",ROW()-5)</f>
        <v/>
      </c>
      <c r="B895" s="43" t="n"/>
      <c r="C895" s="41" t="n"/>
      <c r="D895" s="41" t="n"/>
      <c r="E895" s="70" t="n"/>
      <c r="F895" s="71" t="n"/>
      <c r="G895" s="72" t="n"/>
      <c r="H895" s="73" t="n"/>
      <c r="I895" s="74">
        <f>IF(OR(E895="",F895=""),"",E895*F895)</f>
        <v/>
      </c>
      <c r="J895" s="75">
        <f>IF(I895="","",IF(D895="Buy",I895+N(G895),IF(D895="Sell",I895-N(G895),IF(D895="Dividend",I895-N(G895),I895+N(G895)))))</f>
        <v/>
      </c>
      <c r="K895" s="76">
        <f>IF(B895="","",DATE(YEAR(B895),MONTH(B895),1))</f>
        <v/>
      </c>
      <c r="L895" s="77">
        <f>IF(B895="","",YEAR(B895))</f>
        <v/>
      </c>
    </row>
    <row r="896" ht="19" customHeight="1">
      <c r="A896" s="69">
        <f>IF(B896="","",ROW()-5)</f>
        <v/>
      </c>
      <c r="B896" s="43" t="n"/>
      <c r="C896" s="41" t="n"/>
      <c r="D896" s="41" t="n"/>
      <c r="E896" s="70" t="n"/>
      <c r="F896" s="71" t="n"/>
      <c r="G896" s="72" t="n"/>
      <c r="H896" s="73" t="n"/>
      <c r="I896" s="74">
        <f>IF(OR(E896="",F896=""),"",E896*F896)</f>
        <v/>
      </c>
      <c r="J896" s="75">
        <f>IF(I896="","",IF(D896="Buy",I896+N(G896),IF(D896="Sell",I896-N(G896),IF(D896="Dividend",I896-N(G896),I896+N(G896)))))</f>
        <v/>
      </c>
      <c r="K896" s="76">
        <f>IF(B896="","",DATE(YEAR(B896),MONTH(B896),1))</f>
        <v/>
      </c>
      <c r="L896" s="77">
        <f>IF(B896="","",YEAR(B896))</f>
        <v/>
      </c>
    </row>
    <row r="897" ht="19" customHeight="1">
      <c r="A897" s="69">
        <f>IF(B897="","",ROW()-5)</f>
        <v/>
      </c>
      <c r="B897" s="43" t="n"/>
      <c r="C897" s="41" t="n"/>
      <c r="D897" s="41" t="n"/>
      <c r="E897" s="70" t="n"/>
      <c r="F897" s="71" t="n"/>
      <c r="G897" s="72" t="n"/>
      <c r="H897" s="73" t="n"/>
      <c r="I897" s="74">
        <f>IF(OR(E897="",F897=""),"",E897*F897)</f>
        <v/>
      </c>
      <c r="J897" s="75">
        <f>IF(I897="","",IF(D897="Buy",I897+N(G897),IF(D897="Sell",I897-N(G897),IF(D897="Dividend",I897-N(G897),I897+N(G897)))))</f>
        <v/>
      </c>
      <c r="K897" s="76">
        <f>IF(B897="","",DATE(YEAR(B897),MONTH(B897),1))</f>
        <v/>
      </c>
      <c r="L897" s="77">
        <f>IF(B897="","",YEAR(B897))</f>
        <v/>
      </c>
    </row>
    <row r="898" ht="19" customHeight="1">
      <c r="A898" s="69">
        <f>IF(B898="","",ROW()-5)</f>
        <v/>
      </c>
      <c r="B898" s="43" t="n"/>
      <c r="C898" s="41" t="n"/>
      <c r="D898" s="41" t="n"/>
      <c r="E898" s="70" t="n"/>
      <c r="F898" s="71" t="n"/>
      <c r="G898" s="72" t="n"/>
      <c r="H898" s="73" t="n"/>
      <c r="I898" s="74">
        <f>IF(OR(E898="",F898=""),"",E898*F898)</f>
        <v/>
      </c>
      <c r="J898" s="75">
        <f>IF(I898="","",IF(D898="Buy",I898+N(G898),IF(D898="Sell",I898-N(G898),IF(D898="Dividend",I898-N(G898),I898+N(G898)))))</f>
        <v/>
      </c>
      <c r="K898" s="76">
        <f>IF(B898="","",DATE(YEAR(B898),MONTH(B898),1))</f>
        <v/>
      </c>
      <c r="L898" s="77">
        <f>IF(B898="","",YEAR(B898))</f>
        <v/>
      </c>
    </row>
    <row r="899" ht="19" customHeight="1">
      <c r="A899" s="69">
        <f>IF(B899="","",ROW()-5)</f>
        <v/>
      </c>
      <c r="B899" s="43" t="n"/>
      <c r="C899" s="41" t="n"/>
      <c r="D899" s="41" t="n"/>
      <c r="E899" s="70" t="n"/>
      <c r="F899" s="71" t="n"/>
      <c r="G899" s="72" t="n"/>
      <c r="H899" s="73" t="n"/>
      <c r="I899" s="74">
        <f>IF(OR(E899="",F899=""),"",E899*F899)</f>
        <v/>
      </c>
      <c r="J899" s="75">
        <f>IF(I899="","",IF(D899="Buy",I899+N(G899),IF(D899="Sell",I899-N(G899),IF(D899="Dividend",I899-N(G899),I899+N(G899)))))</f>
        <v/>
      </c>
      <c r="K899" s="76">
        <f>IF(B899="","",DATE(YEAR(B899),MONTH(B899),1))</f>
        <v/>
      </c>
      <c r="L899" s="77">
        <f>IF(B899="","",YEAR(B899))</f>
        <v/>
      </c>
    </row>
    <row r="900" ht="19" customHeight="1">
      <c r="A900" s="69">
        <f>IF(B900="","",ROW()-5)</f>
        <v/>
      </c>
      <c r="B900" s="43" t="n"/>
      <c r="C900" s="41" t="n"/>
      <c r="D900" s="41" t="n"/>
      <c r="E900" s="70" t="n"/>
      <c r="F900" s="71" t="n"/>
      <c r="G900" s="72" t="n"/>
      <c r="H900" s="73" t="n"/>
      <c r="I900" s="74">
        <f>IF(OR(E900="",F900=""),"",E900*F900)</f>
        <v/>
      </c>
      <c r="J900" s="75">
        <f>IF(I900="","",IF(D900="Buy",I900+N(G900),IF(D900="Sell",I900-N(G900),IF(D900="Dividend",I900-N(G900),I900+N(G900)))))</f>
        <v/>
      </c>
      <c r="K900" s="76">
        <f>IF(B900="","",DATE(YEAR(B900),MONTH(B900),1))</f>
        <v/>
      </c>
      <c r="L900" s="77">
        <f>IF(B900="","",YEAR(B900))</f>
        <v/>
      </c>
    </row>
    <row r="901" ht="19" customHeight="1">
      <c r="A901" s="69">
        <f>IF(B901="","",ROW()-5)</f>
        <v/>
      </c>
      <c r="B901" s="43" t="n"/>
      <c r="C901" s="41" t="n"/>
      <c r="D901" s="41" t="n"/>
      <c r="E901" s="70" t="n"/>
      <c r="F901" s="71" t="n"/>
      <c r="G901" s="72" t="n"/>
      <c r="H901" s="73" t="n"/>
      <c r="I901" s="74">
        <f>IF(OR(E901="",F901=""),"",E901*F901)</f>
        <v/>
      </c>
      <c r="J901" s="75">
        <f>IF(I901="","",IF(D901="Buy",I901+N(G901),IF(D901="Sell",I901-N(G901),IF(D901="Dividend",I901-N(G901),I901+N(G901)))))</f>
        <v/>
      </c>
      <c r="K901" s="76">
        <f>IF(B901="","",DATE(YEAR(B901),MONTH(B901),1))</f>
        <v/>
      </c>
      <c r="L901" s="77">
        <f>IF(B901="","",YEAR(B901))</f>
        <v/>
      </c>
    </row>
    <row r="902" ht="19" customHeight="1">
      <c r="A902" s="69">
        <f>IF(B902="","",ROW()-5)</f>
        <v/>
      </c>
      <c r="B902" s="43" t="n"/>
      <c r="C902" s="41" t="n"/>
      <c r="D902" s="41" t="n"/>
      <c r="E902" s="70" t="n"/>
      <c r="F902" s="71" t="n"/>
      <c r="G902" s="72" t="n"/>
      <c r="H902" s="73" t="n"/>
      <c r="I902" s="74">
        <f>IF(OR(E902="",F902=""),"",E902*F902)</f>
        <v/>
      </c>
      <c r="J902" s="75">
        <f>IF(I902="","",IF(D902="Buy",I902+N(G902),IF(D902="Sell",I902-N(G902),IF(D902="Dividend",I902-N(G902),I902+N(G902)))))</f>
        <v/>
      </c>
      <c r="K902" s="76">
        <f>IF(B902="","",DATE(YEAR(B902),MONTH(B902),1))</f>
        <v/>
      </c>
      <c r="L902" s="77">
        <f>IF(B902="","",YEAR(B902))</f>
        <v/>
      </c>
    </row>
    <row r="903" ht="19" customHeight="1">
      <c r="A903" s="69">
        <f>IF(B903="","",ROW()-5)</f>
        <v/>
      </c>
      <c r="B903" s="43" t="n"/>
      <c r="C903" s="41" t="n"/>
      <c r="D903" s="41" t="n"/>
      <c r="E903" s="70" t="n"/>
      <c r="F903" s="71" t="n"/>
      <c r="G903" s="72" t="n"/>
      <c r="H903" s="73" t="n"/>
      <c r="I903" s="74">
        <f>IF(OR(E903="",F903=""),"",E903*F903)</f>
        <v/>
      </c>
      <c r="J903" s="75">
        <f>IF(I903="","",IF(D903="Buy",I903+N(G903),IF(D903="Sell",I903-N(G903),IF(D903="Dividend",I903-N(G903),I903+N(G903)))))</f>
        <v/>
      </c>
      <c r="K903" s="76">
        <f>IF(B903="","",DATE(YEAR(B903),MONTH(B903),1))</f>
        <v/>
      </c>
      <c r="L903" s="77">
        <f>IF(B903="","",YEAR(B903))</f>
        <v/>
      </c>
    </row>
    <row r="904" ht="19" customHeight="1">
      <c r="A904" s="69">
        <f>IF(B904="","",ROW()-5)</f>
        <v/>
      </c>
      <c r="B904" s="43" t="n"/>
      <c r="C904" s="41" t="n"/>
      <c r="D904" s="41" t="n"/>
      <c r="E904" s="70" t="n"/>
      <c r="F904" s="71" t="n"/>
      <c r="G904" s="72" t="n"/>
      <c r="H904" s="73" t="n"/>
      <c r="I904" s="74">
        <f>IF(OR(E904="",F904=""),"",E904*F904)</f>
        <v/>
      </c>
      <c r="J904" s="75">
        <f>IF(I904="","",IF(D904="Buy",I904+N(G904),IF(D904="Sell",I904-N(G904),IF(D904="Dividend",I904-N(G904),I904+N(G904)))))</f>
        <v/>
      </c>
      <c r="K904" s="76">
        <f>IF(B904="","",DATE(YEAR(B904),MONTH(B904),1))</f>
        <v/>
      </c>
      <c r="L904" s="77">
        <f>IF(B904="","",YEAR(B904))</f>
        <v/>
      </c>
    </row>
    <row r="905" ht="19" customHeight="1">
      <c r="A905" s="69">
        <f>IF(B905="","",ROW()-5)</f>
        <v/>
      </c>
      <c r="B905" s="43" t="n"/>
      <c r="C905" s="41" t="n"/>
      <c r="D905" s="41" t="n"/>
      <c r="E905" s="70" t="n"/>
      <c r="F905" s="71" t="n"/>
      <c r="G905" s="72" t="n"/>
      <c r="H905" s="73" t="n"/>
      <c r="I905" s="74">
        <f>IF(OR(E905="",F905=""),"",E905*F905)</f>
        <v/>
      </c>
      <c r="J905" s="75">
        <f>IF(I905="","",IF(D905="Buy",I905+N(G905),IF(D905="Sell",I905-N(G905),IF(D905="Dividend",I905-N(G905),I905+N(G905)))))</f>
        <v/>
      </c>
      <c r="K905" s="76">
        <f>IF(B905="","",DATE(YEAR(B905),MONTH(B905),1))</f>
        <v/>
      </c>
      <c r="L905" s="77">
        <f>IF(B905="","",YEAR(B905))</f>
        <v/>
      </c>
    </row>
    <row r="906" ht="19" customHeight="1">
      <c r="A906" s="69">
        <f>IF(B906="","",ROW()-5)</f>
        <v/>
      </c>
      <c r="B906" s="43" t="n"/>
      <c r="C906" s="41" t="n"/>
      <c r="D906" s="41" t="n"/>
      <c r="E906" s="70" t="n"/>
      <c r="F906" s="71" t="n"/>
      <c r="G906" s="72" t="n"/>
      <c r="H906" s="73" t="n"/>
      <c r="I906" s="74">
        <f>IF(OR(E906="",F906=""),"",E906*F906)</f>
        <v/>
      </c>
      <c r="J906" s="75">
        <f>IF(I906="","",IF(D906="Buy",I906+N(G906),IF(D906="Sell",I906-N(G906),IF(D906="Dividend",I906-N(G906),I906+N(G906)))))</f>
        <v/>
      </c>
      <c r="K906" s="76">
        <f>IF(B906="","",DATE(YEAR(B906),MONTH(B906),1))</f>
        <v/>
      </c>
      <c r="L906" s="77">
        <f>IF(B906="","",YEAR(B906))</f>
        <v/>
      </c>
    </row>
    <row r="907" ht="19" customHeight="1">
      <c r="A907" s="69">
        <f>IF(B907="","",ROW()-5)</f>
        <v/>
      </c>
      <c r="B907" s="43" t="n"/>
      <c r="C907" s="41" t="n"/>
      <c r="D907" s="41" t="n"/>
      <c r="E907" s="70" t="n"/>
      <c r="F907" s="71" t="n"/>
      <c r="G907" s="72" t="n"/>
      <c r="H907" s="73" t="n"/>
      <c r="I907" s="74">
        <f>IF(OR(E907="",F907=""),"",E907*F907)</f>
        <v/>
      </c>
      <c r="J907" s="75">
        <f>IF(I907="","",IF(D907="Buy",I907+N(G907),IF(D907="Sell",I907-N(G907),IF(D907="Dividend",I907-N(G907),I907+N(G907)))))</f>
        <v/>
      </c>
      <c r="K907" s="76">
        <f>IF(B907="","",DATE(YEAR(B907),MONTH(B907),1))</f>
        <v/>
      </c>
      <c r="L907" s="77">
        <f>IF(B907="","",YEAR(B907))</f>
        <v/>
      </c>
    </row>
    <row r="908" ht="19" customHeight="1">
      <c r="A908" s="69">
        <f>IF(B908="","",ROW()-5)</f>
        <v/>
      </c>
      <c r="B908" s="43" t="n"/>
      <c r="C908" s="41" t="n"/>
      <c r="D908" s="41" t="n"/>
      <c r="E908" s="70" t="n"/>
      <c r="F908" s="71" t="n"/>
      <c r="G908" s="72" t="n"/>
      <c r="H908" s="73" t="n"/>
      <c r="I908" s="74">
        <f>IF(OR(E908="",F908=""),"",E908*F908)</f>
        <v/>
      </c>
      <c r="J908" s="75">
        <f>IF(I908="","",IF(D908="Buy",I908+N(G908),IF(D908="Sell",I908-N(G908),IF(D908="Dividend",I908-N(G908),I908+N(G908)))))</f>
        <v/>
      </c>
      <c r="K908" s="76">
        <f>IF(B908="","",DATE(YEAR(B908),MONTH(B908),1))</f>
        <v/>
      </c>
      <c r="L908" s="77">
        <f>IF(B908="","",YEAR(B908))</f>
        <v/>
      </c>
    </row>
    <row r="909" ht="19" customHeight="1">
      <c r="A909" s="69">
        <f>IF(B909="","",ROW()-5)</f>
        <v/>
      </c>
      <c r="B909" s="43" t="n"/>
      <c r="C909" s="41" t="n"/>
      <c r="D909" s="41" t="n"/>
      <c r="E909" s="70" t="n"/>
      <c r="F909" s="71" t="n"/>
      <c r="G909" s="72" t="n"/>
      <c r="H909" s="73" t="n"/>
      <c r="I909" s="74">
        <f>IF(OR(E909="",F909=""),"",E909*F909)</f>
        <v/>
      </c>
      <c r="J909" s="75">
        <f>IF(I909="","",IF(D909="Buy",I909+N(G909),IF(D909="Sell",I909-N(G909),IF(D909="Dividend",I909-N(G909),I909+N(G909)))))</f>
        <v/>
      </c>
      <c r="K909" s="76">
        <f>IF(B909="","",DATE(YEAR(B909),MONTH(B909),1))</f>
        <v/>
      </c>
      <c r="L909" s="77">
        <f>IF(B909="","",YEAR(B909))</f>
        <v/>
      </c>
    </row>
    <row r="910" ht="19" customHeight="1">
      <c r="A910" s="69">
        <f>IF(B910="","",ROW()-5)</f>
        <v/>
      </c>
      <c r="B910" s="43" t="n"/>
      <c r="C910" s="41" t="n"/>
      <c r="D910" s="41" t="n"/>
      <c r="E910" s="70" t="n"/>
      <c r="F910" s="71" t="n"/>
      <c r="G910" s="72" t="n"/>
      <c r="H910" s="73" t="n"/>
      <c r="I910" s="74">
        <f>IF(OR(E910="",F910=""),"",E910*F910)</f>
        <v/>
      </c>
      <c r="J910" s="75">
        <f>IF(I910="","",IF(D910="Buy",I910+N(G910),IF(D910="Sell",I910-N(G910),IF(D910="Dividend",I910-N(G910),I910+N(G910)))))</f>
        <v/>
      </c>
      <c r="K910" s="76">
        <f>IF(B910="","",DATE(YEAR(B910),MONTH(B910),1))</f>
        <v/>
      </c>
      <c r="L910" s="77">
        <f>IF(B910="","",YEAR(B910))</f>
        <v/>
      </c>
    </row>
    <row r="911" ht="19" customHeight="1">
      <c r="A911" s="69">
        <f>IF(B911="","",ROW()-5)</f>
        <v/>
      </c>
      <c r="B911" s="43" t="n"/>
      <c r="C911" s="41" t="n"/>
      <c r="D911" s="41" t="n"/>
      <c r="E911" s="70" t="n"/>
      <c r="F911" s="71" t="n"/>
      <c r="G911" s="72" t="n"/>
      <c r="H911" s="73" t="n"/>
      <c r="I911" s="74">
        <f>IF(OR(E911="",F911=""),"",E911*F911)</f>
        <v/>
      </c>
      <c r="J911" s="75">
        <f>IF(I911="","",IF(D911="Buy",I911+N(G911),IF(D911="Sell",I911-N(G911),IF(D911="Dividend",I911-N(G911),I911+N(G911)))))</f>
        <v/>
      </c>
      <c r="K911" s="76">
        <f>IF(B911="","",DATE(YEAR(B911),MONTH(B911),1))</f>
        <v/>
      </c>
      <c r="L911" s="77">
        <f>IF(B911="","",YEAR(B911))</f>
        <v/>
      </c>
    </row>
    <row r="912" ht="19" customHeight="1">
      <c r="A912" s="69">
        <f>IF(B912="","",ROW()-5)</f>
        <v/>
      </c>
      <c r="B912" s="43" t="n"/>
      <c r="C912" s="41" t="n"/>
      <c r="D912" s="41" t="n"/>
      <c r="E912" s="70" t="n"/>
      <c r="F912" s="71" t="n"/>
      <c r="G912" s="72" t="n"/>
      <c r="H912" s="73" t="n"/>
      <c r="I912" s="74">
        <f>IF(OR(E912="",F912=""),"",E912*F912)</f>
        <v/>
      </c>
      <c r="J912" s="75">
        <f>IF(I912="","",IF(D912="Buy",I912+N(G912),IF(D912="Sell",I912-N(G912),IF(D912="Dividend",I912-N(G912),I912+N(G912)))))</f>
        <v/>
      </c>
      <c r="K912" s="76">
        <f>IF(B912="","",DATE(YEAR(B912),MONTH(B912),1))</f>
        <v/>
      </c>
      <c r="L912" s="77">
        <f>IF(B912="","",YEAR(B912))</f>
        <v/>
      </c>
    </row>
    <row r="913" ht="19" customHeight="1">
      <c r="A913" s="69">
        <f>IF(B913="","",ROW()-5)</f>
        <v/>
      </c>
      <c r="B913" s="43" t="n"/>
      <c r="C913" s="41" t="n"/>
      <c r="D913" s="41" t="n"/>
      <c r="E913" s="70" t="n"/>
      <c r="F913" s="71" t="n"/>
      <c r="G913" s="72" t="n"/>
      <c r="H913" s="73" t="n"/>
      <c r="I913" s="74">
        <f>IF(OR(E913="",F913=""),"",E913*F913)</f>
        <v/>
      </c>
      <c r="J913" s="75">
        <f>IF(I913="","",IF(D913="Buy",I913+N(G913),IF(D913="Sell",I913-N(G913),IF(D913="Dividend",I913-N(G913),I913+N(G913)))))</f>
        <v/>
      </c>
      <c r="K913" s="76">
        <f>IF(B913="","",DATE(YEAR(B913),MONTH(B913),1))</f>
        <v/>
      </c>
      <c r="L913" s="77">
        <f>IF(B913="","",YEAR(B913))</f>
        <v/>
      </c>
    </row>
    <row r="914" ht="19" customHeight="1">
      <c r="A914" s="69">
        <f>IF(B914="","",ROW()-5)</f>
        <v/>
      </c>
      <c r="B914" s="43" t="n"/>
      <c r="C914" s="41" t="n"/>
      <c r="D914" s="41" t="n"/>
      <c r="E914" s="70" t="n"/>
      <c r="F914" s="71" t="n"/>
      <c r="G914" s="72" t="n"/>
      <c r="H914" s="73" t="n"/>
      <c r="I914" s="74">
        <f>IF(OR(E914="",F914=""),"",E914*F914)</f>
        <v/>
      </c>
      <c r="J914" s="75">
        <f>IF(I914="","",IF(D914="Buy",I914+N(G914),IF(D914="Sell",I914-N(G914),IF(D914="Dividend",I914-N(G914),I914+N(G914)))))</f>
        <v/>
      </c>
      <c r="K914" s="76">
        <f>IF(B914="","",DATE(YEAR(B914),MONTH(B914),1))</f>
        <v/>
      </c>
      <c r="L914" s="77">
        <f>IF(B914="","",YEAR(B914))</f>
        <v/>
      </c>
    </row>
    <row r="915" ht="19" customHeight="1">
      <c r="A915" s="69">
        <f>IF(B915="","",ROW()-5)</f>
        <v/>
      </c>
      <c r="B915" s="43" t="n"/>
      <c r="C915" s="41" t="n"/>
      <c r="D915" s="41" t="n"/>
      <c r="E915" s="70" t="n"/>
      <c r="F915" s="71" t="n"/>
      <c r="G915" s="72" t="n"/>
      <c r="H915" s="73" t="n"/>
      <c r="I915" s="74">
        <f>IF(OR(E915="",F915=""),"",E915*F915)</f>
        <v/>
      </c>
      <c r="J915" s="75">
        <f>IF(I915="","",IF(D915="Buy",I915+N(G915),IF(D915="Sell",I915-N(G915),IF(D915="Dividend",I915-N(G915),I915+N(G915)))))</f>
        <v/>
      </c>
      <c r="K915" s="76">
        <f>IF(B915="","",DATE(YEAR(B915),MONTH(B915),1))</f>
        <v/>
      </c>
      <c r="L915" s="77">
        <f>IF(B915="","",YEAR(B915))</f>
        <v/>
      </c>
    </row>
    <row r="916" ht="19" customHeight="1">
      <c r="A916" s="69">
        <f>IF(B916="","",ROW()-5)</f>
        <v/>
      </c>
      <c r="B916" s="43" t="n"/>
      <c r="C916" s="41" t="n"/>
      <c r="D916" s="41" t="n"/>
      <c r="E916" s="70" t="n"/>
      <c r="F916" s="71" t="n"/>
      <c r="G916" s="72" t="n"/>
      <c r="H916" s="73" t="n"/>
      <c r="I916" s="74">
        <f>IF(OR(E916="",F916=""),"",E916*F916)</f>
        <v/>
      </c>
      <c r="J916" s="75">
        <f>IF(I916="","",IF(D916="Buy",I916+N(G916),IF(D916="Sell",I916-N(G916),IF(D916="Dividend",I916-N(G916),I916+N(G916)))))</f>
        <v/>
      </c>
      <c r="K916" s="76">
        <f>IF(B916="","",DATE(YEAR(B916),MONTH(B916),1))</f>
        <v/>
      </c>
      <c r="L916" s="77">
        <f>IF(B916="","",YEAR(B916))</f>
        <v/>
      </c>
    </row>
    <row r="917" ht="19" customHeight="1">
      <c r="A917" s="69">
        <f>IF(B917="","",ROW()-5)</f>
        <v/>
      </c>
      <c r="B917" s="43" t="n"/>
      <c r="C917" s="41" t="n"/>
      <c r="D917" s="41" t="n"/>
      <c r="E917" s="70" t="n"/>
      <c r="F917" s="71" t="n"/>
      <c r="G917" s="72" t="n"/>
      <c r="H917" s="73" t="n"/>
      <c r="I917" s="74">
        <f>IF(OR(E917="",F917=""),"",E917*F917)</f>
        <v/>
      </c>
      <c r="J917" s="75">
        <f>IF(I917="","",IF(D917="Buy",I917+N(G917),IF(D917="Sell",I917-N(G917),IF(D917="Dividend",I917-N(G917),I917+N(G917)))))</f>
        <v/>
      </c>
      <c r="K917" s="76">
        <f>IF(B917="","",DATE(YEAR(B917),MONTH(B917),1))</f>
        <v/>
      </c>
      <c r="L917" s="77">
        <f>IF(B917="","",YEAR(B917))</f>
        <v/>
      </c>
    </row>
    <row r="918" ht="19" customHeight="1">
      <c r="A918" s="69">
        <f>IF(B918="","",ROW()-5)</f>
        <v/>
      </c>
      <c r="B918" s="43" t="n"/>
      <c r="C918" s="41" t="n"/>
      <c r="D918" s="41" t="n"/>
      <c r="E918" s="70" t="n"/>
      <c r="F918" s="71" t="n"/>
      <c r="G918" s="72" t="n"/>
      <c r="H918" s="73" t="n"/>
      <c r="I918" s="74">
        <f>IF(OR(E918="",F918=""),"",E918*F918)</f>
        <v/>
      </c>
      <c r="J918" s="75">
        <f>IF(I918="","",IF(D918="Buy",I918+N(G918),IF(D918="Sell",I918-N(G918),IF(D918="Dividend",I918-N(G918),I918+N(G918)))))</f>
        <v/>
      </c>
      <c r="K918" s="76">
        <f>IF(B918="","",DATE(YEAR(B918),MONTH(B918),1))</f>
        <v/>
      </c>
      <c r="L918" s="77">
        <f>IF(B918="","",YEAR(B918))</f>
        <v/>
      </c>
    </row>
    <row r="919" ht="19" customHeight="1">
      <c r="A919" s="69">
        <f>IF(B919="","",ROW()-5)</f>
        <v/>
      </c>
      <c r="B919" s="43" t="n"/>
      <c r="C919" s="41" t="n"/>
      <c r="D919" s="41" t="n"/>
      <c r="E919" s="70" t="n"/>
      <c r="F919" s="71" t="n"/>
      <c r="G919" s="72" t="n"/>
      <c r="H919" s="73" t="n"/>
      <c r="I919" s="74">
        <f>IF(OR(E919="",F919=""),"",E919*F919)</f>
        <v/>
      </c>
      <c r="J919" s="75">
        <f>IF(I919="","",IF(D919="Buy",I919+N(G919),IF(D919="Sell",I919-N(G919),IF(D919="Dividend",I919-N(G919),I919+N(G919)))))</f>
        <v/>
      </c>
      <c r="K919" s="76">
        <f>IF(B919="","",DATE(YEAR(B919),MONTH(B919),1))</f>
        <v/>
      </c>
      <c r="L919" s="77">
        <f>IF(B919="","",YEAR(B919))</f>
        <v/>
      </c>
    </row>
    <row r="920" ht="19" customHeight="1">
      <c r="A920" s="69">
        <f>IF(B920="","",ROW()-5)</f>
        <v/>
      </c>
      <c r="B920" s="43" t="n"/>
      <c r="C920" s="41" t="n"/>
      <c r="D920" s="41" t="n"/>
      <c r="E920" s="70" t="n"/>
      <c r="F920" s="71" t="n"/>
      <c r="G920" s="72" t="n"/>
      <c r="H920" s="73" t="n"/>
      <c r="I920" s="74">
        <f>IF(OR(E920="",F920=""),"",E920*F920)</f>
        <v/>
      </c>
      <c r="J920" s="75">
        <f>IF(I920="","",IF(D920="Buy",I920+N(G920),IF(D920="Sell",I920-N(G920),IF(D920="Dividend",I920-N(G920),I920+N(G920)))))</f>
        <v/>
      </c>
      <c r="K920" s="76">
        <f>IF(B920="","",DATE(YEAR(B920),MONTH(B920),1))</f>
        <v/>
      </c>
      <c r="L920" s="77">
        <f>IF(B920="","",YEAR(B920))</f>
        <v/>
      </c>
    </row>
    <row r="921" ht="19" customHeight="1">
      <c r="A921" s="69">
        <f>IF(B921="","",ROW()-5)</f>
        <v/>
      </c>
      <c r="B921" s="43" t="n"/>
      <c r="C921" s="41" t="n"/>
      <c r="D921" s="41" t="n"/>
      <c r="E921" s="70" t="n"/>
      <c r="F921" s="71" t="n"/>
      <c r="G921" s="72" t="n"/>
      <c r="H921" s="73" t="n"/>
      <c r="I921" s="74">
        <f>IF(OR(E921="",F921=""),"",E921*F921)</f>
        <v/>
      </c>
      <c r="J921" s="75">
        <f>IF(I921="","",IF(D921="Buy",I921+N(G921),IF(D921="Sell",I921-N(G921),IF(D921="Dividend",I921-N(G921),I921+N(G921)))))</f>
        <v/>
      </c>
      <c r="K921" s="76">
        <f>IF(B921="","",DATE(YEAR(B921),MONTH(B921),1))</f>
        <v/>
      </c>
      <c r="L921" s="77">
        <f>IF(B921="","",YEAR(B921))</f>
        <v/>
      </c>
    </row>
    <row r="922" ht="19" customHeight="1">
      <c r="A922" s="69">
        <f>IF(B922="","",ROW()-5)</f>
        <v/>
      </c>
      <c r="B922" s="43" t="n"/>
      <c r="C922" s="41" t="n"/>
      <c r="D922" s="41" t="n"/>
      <c r="E922" s="70" t="n"/>
      <c r="F922" s="71" t="n"/>
      <c r="G922" s="72" t="n"/>
      <c r="H922" s="73" t="n"/>
      <c r="I922" s="74">
        <f>IF(OR(E922="",F922=""),"",E922*F922)</f>
        <v/>
      </c>
      <c r="J922" s="75">
        <f>IF(I922="","",IF(D922="Buy",I922+N(G922),IF(D922="Sell",I922-N(G922),IF(D922="Dividend",I922-N(G922),I922+N(G922)))))</f>
        <v/>
      </c>
      <c r="K922" s="76">
        <f>IF(B922="","",DATE(YEAR(B922),MONTH(B922),1))</f>
        <v/>
      </c>
      <c r="L922" s="77">
        <f>IF(B922="","",YEAR(B922))</f>
        <v/>
      </c>
    </row>
    <row r="923" ht="19" customHeight="1">
      <c r="A923" s="69">
        <f>IF(B923="","",ROW()-5)</f>
        <v/>
      </c>
      <c r="B923" s="43" t="n"/>
      <c r="C923" s="41" t="n"/>
      <c r="D923" s="41" t="n"/>
      <c r="E923" s="70" t="n"/>
      <c r="F923" s="71" t="n"/>
      <c r="G923" s="72" t="n"/>
      <c r="H923" s="73" t="n"/>
      <c r="I923" s="74">
        <f>IF(OR(E923="",F923=""),"",E923*F923)</f>
        <v/>
      </c>
      <c r="J923" s="75">
        <f>IF(I923="","",IF(D923="Buy",I923+N(G923),IF(D923="Sell",I923-N(G923),IF(D923="Dividend",I923-N(G923),I923+N(G923)))))</f>
        <v/>
      </c>
      <c r="K923" s="76">
        <f>IF(B923="","",DATE(YEAR(B923),MONTH(B923),1))</f>
        <v/>
      </c>
      <c r="L923" s="77">
        <f>IF(B923="","",YEAR(B923))</f>
        <v/>
      </c>
    </row>
    <row r="924" ht="19" customHeight="1">
      <c r="A924" s="69">
        <f>IF(B924="","",ROW()-5)</f>
        <v/>
      </c>
      <c r="B924" s="43" t="n"/>
      <c r="C924" s="41" t="n"/>
      <c r="D924" s="41" t="n"/>
      <c r="E924" s="70" t="n"/>
      <c r="F924" s="71" t="n"/>
      <c r="G924" s="72" t="n"/>
      <c r="H924" s="73" t="n"/>
      <c r="I924" s="74">
        <f>IF(OR(E924="",F924=""),"",E924*F924)</f>
        <v/>
      </c>
      <c r="J924" s="75">
        <f>IF(I924="","",IF(D924="Buy",I924+N(G924),IF(D924="Sell",I924-N(G924),IF(D924="Dividend",I924-N(G924),I924+N(G924)))))</f>
        <v/>
      </c>
      <c r="K924" s="76">
        <f>IF(B924="","",DATE(YEAR(B924),MONTH(B924),1))</f>
        <v/>
      </c>
      <c r="L924" s="77">
        <f>IF(B924="","",YEAR(B924))</f>
        <v/>
      </c>
    </row>
    <row r="925" ht="19" customHeight="1">
      <c r="A925" s="69">
        <f>IF(B925="","",ROW()-5)</f>
        <v/>
      </c>
      <c r="B925" s="43" t="n"/>
      <c r="C925" s="41" t="n"/>
      <c r="D925" s="41" t="n"/>
      <c r="E925" s="70" t="n"/>
      <c r="F925" s="71" t="n"/>
      <c r="G925" s="72" t="n"/>
      <c r="H925" s="73" t="n"/>
      <c r="I925" s="74">
        <f>IF(OR(E925="",F925=""),"",E925*F925)</f>
        <v/>
      </c>
      <c r="J925" s="75">
        <f>IF(I925="","",IF(D925="Buy",I925+N(G925),IF(D925="Sell",I925-N(G925),IF(D925="Dividend",I925-N(G925),I925+N(G925)))))</f>
        <v/>
      </c>
      <c r="K925" s="76">
        <f>IF(B925="","",DATE(YEAR(B925),MONTH(B925),1))</f>
        <v/>
      </c>
      <c r="L925" s="77">
        <f>IF(B925="","",YEAR(B925))</f>
        <v/>
      </c>
    </row>
    <row r="926" ht="19" customHeight="1">
      <c r="A926" s="69">
        <f>IF(B926="","",ROW()-5)</f>
        <v/>
      </c>
      <c r="B926" s="43" t="n"/>
      <c r="C926" s="41" t="n"/>
      <c r="D926" s="41" t="n"/>
      <c r="E926" s="70" t="n"/>
      <c r="F926" s="71" t="n"/>
      <c r="G926" s="72" t="n"/>
      <c r="H926" s="73" t="n"/>
      <c r="I926" s="74">
        <f>IF(OR(E926="",F926=""),"",E926*F926)</f>
        <v/>
      </c>
      <c r="J926" s="75">
        <f>IF(I926="","",IF(D926="Buy",I926+N(G926),IF(D926="Sell",I926-N(G926),IF(D926="Dividend",I926-N(G926),I926+N(G926)))))</f>
        <v/>
      </c>
      <c r="K926" s="76">
        <f>IF(B926="","",DATE(YEAR(B926),MONTH(B926),1))</f>
        <v/>
      </c>
      <c r="L926" s="77">
        <f>IF(B926="","",YEAR(B926))</f>
        <v/>
      </c>
    </row>
    <row r="927" ht="19" customHeight="1">
      <c r="A927" s="69">
        <f>IF(B927="","",ROW()-5)</f>
        <v/>
      </c>
      <c r="B927" s="43" t="n"/>
      <c r="C927" s="41" t="n"/>
      <c r="D927" s="41" t="n"/>
      <c r="E927" s="70" t="n"/>
      <c r="F927" s="71" t="n"/>
      <c r="G927" s="72" t="n"/>
      <c r="H927" s="73" t="n"/>
      <c r="I927" s="74">
        <f>IF(OR(E927="",F927=""),"",E927*F927)</f>
        <v/>
      </c>
      <c r="J927" s="75">
        <f>IF(I927="","",IF(D927="Buy",I927+N(G927),IF(D927="Sell",I927-N(G927),IF(D927="Dividend",I927-N(G927),I927+N(G927)))))</f>
        <v/>
      </c>
      <c r="K927" s="76">
        <f>IF(B927="","",DATE(YEAR(B927),MONTH(B927),1))</f>
        <v/>
      </c>
      <c r="L927" s="77">
        <f>IF(B927="","",YEAR(B927))</f>
        <v/>
      </c>
    </row>
    <row r="928" ht="19" customHeight="1">
      <c r="A928" s="69">
        <f>IF(B928="","",ROW()-5)</f>
        <v/>
      </c>
      <c r="B928" s="43" t="n"/>
      <c r="C928" s="41" t="n"/>
      <c r="D928" s="41" t="n"/>
      <c r="E928" s="70" t="n"/>
      <c r="F928" s="71" t="n"/>
      <c r="G928" s="72" t="n"/>
      <c r="H928" s="73" t="n"/>
      <c r="I928" s="74">
        <f>IF(OR(E928="",F928=""),"",E928*F928)</f>
        <v/>
      </c>
      <c r="J928" s="75">
        <f>IF(I928="","",IF(D928="Buy",I928+N(G928),IF(D928="Sell",I928-N(G928),IF(D928="Dividend",I928-N(G928),I928+N(G928)))))</f>
        <v/>
      </c>
      <c r="K928" s="76">
        <f>IF(B928="","",DATE(YEAR(B928),MONTH(B928),1))</f>
        <v/>
      </c>
      <c r="L928" s="77">
        <f>IF(B928="","",YEAR(B928))</f>
        <v/>
      </c>
    </row>
    <row r="929" ht="19" customHeight="1">
      <c r="A929" s="69">
        <f>IF(B929="","",ROW()-5)</f>
        <v/>
      </c>
      <c r="B929" s="43" t="n"/>
      <c r="C929" s="41" t="n"/>
      <c r="D929" s="41" t="n"/>
      <c r="E929" s="70" t="n"/>
      <c r="F929" s="71" t="n"/>
      <c r="G929" s="72" t="n"/>
      <c r="H929" s="73" t="n"/>
      <c r="I929" s="74">
        <f>IF(OR(E929="",F929=""),"",E929*F929)</f>
        <v/>
      </c>
      <c r="J929" s="75">
        <f>IF(I929="","",IF(D929="Buy",I929+N(G929),IF(D929="Sell",I929-N(G929),IF(D929="Dividend",I929-N(G929),I929+N(G929)))))</f>
        <v/>
      </c>
      <c r="K929" s="76">
        <f>IF(B929="","",DATE(YEAR(B929),MONTH(B929),1))</f>
        <v/>
      </c>
      <c r="L929" s="77">
        <f>IF(B929="","",YEAR(B929))</f>
        <v/>
      </c>
    </row>
    <row r="930" ht="19" customHeight="1">
      <c r="A930" s="69">
        <f>IF(B930="","",ROW()-5)</f>
        <v/>
      </c>
      <c r="B930" s="43" t="n"/>
      <c r="C930" s="41" t="n"/>
      <c r="D930" s="41" t="n"/>
      <c r="E930" s="70" t="n"/>
      <c r="F930" s="71" t="n"/>
      <c r="G930" s="72" t="n"/>
      <c r="H930" s="73" t="n"/>
      <c r="I930" s="74">
        <f>IF(OR(E930="",F930=""),"",E930*F930)</f>
        <v/>
      </c>
      <c r="J930" s="75">
        <f>IF(I930="","",IF(D930="Buy",I930+N(G930),IF(D930="Sell",I930-N(G930),IF(D930="Dividend",I930-N(G930),I930+N(G930)))))</f>
        <v/>
      </c>
      <c r="K930" s="76">
        <f>IF(B930="","",DATE(YEAR(B930),MONTH(B930),1))</f>
        <v/>
      </c>
      <c r="L930" s="77">
        <f>IF(B930="","",YEAR(B930))</f>
        <v/>
      </c>
    </row>
    <row r="931" ht="19" customHeight="1">
      <c r="A931" s="69">
        <f>IF(B931="","",ROW()-5)</f>
        <v/>
      </c>
      <c r="B931" s="43" t="n"/>
      <c r="C931" s="41" t="n"/>
      <c r="D931" s="41" t="n"/>
      <c r="E931" s="70" t="n"/>
      <c r="F931" s="71" t="n"/>
      <c r="G931" s="72" t="n"/>
      <c r="H931" s="73" t="n"/>
      <c r="I931" s="74">
        <f>IF(OR(E931="",F931=""),"",E931*F931)</f>
        <v/>
      </c>
      <c r="J931" s="75">
        <f>IF(I931="","",IF(D931="Buy",I931+N(G931),IF(D931="Sell",I931-N(G931),IF(D931="Dividend",I931-N(G931),I931+N(G931)))))</f>
        <v/>
      </c>
      <c r="K931" s="76">
        <f>IF(B931="","",DATE(YEAR(B931),MONTH(B931),1))</f>
        <v/>
      </c>
      <c r="L931" s="77">
        <f>IF(B931="","",YEAR(B931))</f>
        <v/>
      </c>
    </row>
    <row r="932" ht="19" customHeight="1">
      <c r="A932" s="69">
        <f>IF(B932="","",ROW()-5)</f>
        <v/>
      </c>
      <c r="B932" s="43" t="n"/>
      <c r="C932" s="41" t="n"/>
      <c r="D932" s="41" t="n"/>
      <c r="E932" s="70" t="n"/>
      <c r="F932" s="71" t="n"/>
      <c r="G932" s="72" t="n"/>
      <c r="H932" s="73" t="n"/>
      <c r="I932" s="74">
        <f>IF(OR(E932="",F932=""),"",E932*F932)</f>
        <v/>
      </c>
      <c r="J932" s="75">
        <f>IF(I932="","",IF(D932="Buy",I932+N(G932),IF(D932="Sell",I932-N(G932),IF(D932="Dividend",I932-N(G932),I932+N(G932)))))</f>
        <v/>
      </c>
      <c r="K932" s="76">
        <f>IF(B932="","",DATE(YEAR(B932),MONTH(B932),1))</f>
        <v/>
      </c>
      <c r="L932" s="77">
        <f>IF(B932="","",YEAR(B932))</f>
        <v/>
      </c>
    </row>
    <row r="933" ht="19" customHeight="1">
      <c r="A933" s="69">
        <f>IF(B933="","",ROW()-5)</f>
        <v/>
      </c>
      <c r="B933" s="43" t="n"/>
      <c r="C933" s="41" t="n"/>
      <c r="D933" s="41" t="n"/>
      <c r="E933" s="70" t="n"/>
      <c r="F933" s="71" t="n"/>
      <c r="G933" s="72" t="n"/>
      <c r="H933" s="73" t="n"/>
      <c r="I933" s="74">
        <f>IF(OR(E933="",F933=""),"",E933*F933)</f>
        <v/>
      </c>
      <c r="J933" s="75">
        <f>IF(I933="","",IF(D933="Buy",I933+N(G933),IF(D933="Sell",I933-N(G933),IF(D933="Dividend",I933-N(G933),I933+N(G933)))))</f>
        <v/>
      </c>
      <c r="K933" s="76">
        <f>IF(B933="","",DATE(YEAR(B933),MONTH(B933),1))</f>
        <v/>
      </c>
      <c r="L933" s="77">
        <f>IF(B933="","",YEAR(B933))</f>
        <v/>
      </c>
    </row>
    <row r="934" ht="19" customHeight="1">
      <c r="A934" s="69">
        <f>IF(B934="","",ROW()-5)</f>
        <v/>
      </c>
      <c r="B934" s="43" t="n"/>
      <c r="C934" s="41" t="n"/>
      <c r="D934" s="41" t="n"/>
      <c r="E934" s="70" t="n"/>
      <c r="F934" s="71" t="n"/>
      <c r="G934" s="72" t="n"/>
      <c r="H934" s="73" t="n"/>
      <c r="I934" s="74">
        <f>IF(OR(E934="",F934=""),"",E934*F934)</f>
        <v/>
      </c>
      <c r="J934" s="75">
        <f>IF(I934="","",IF(D934="Buy",I934+N(G934),IF(D934="Sell",I934-N(G934),IF(D934="Dividend",I934-N(G934),I934+N(G934)))))</f>
        <v/>
      </c>
      <c r="K934" s="76">
        <f>IF(B934="","",DATE(YEAR(B934),MONTH(B934),1))</f>
        <v/>
      </c>
      <c r="L934" s="77">
        <f>IF(B934="","",YEAR(B934))</f>
        <v/>
      </c>
    </row>
    <row r="935" ht="19" customHeight="1">
      <c r="A935" s="69">
        <f>IF(B935="","",ROW()-5)</f>
        <v/>
      </c>
      <c r="B935" s="43" t="n"/>
      <c r="C935" s="41" t="n"/>
      <c r="D935" s="41" t="n"/>
      <c r="E935" s="70" t="n"/>
      <c r="F935" s="71" t="n"/>
      <c r="G935" s="72" t="n"/>
      <c r="H935" s="73" t="n"/>
      <c r="I935" s="74">
        <f>IF(OR(E935="",F935=""),"",E935*F935)</f>
        <v/>
      </c>
      <c r="J935" s="75">
        <f>IF(I935="","",IF(D935="Buy",I935+N(G935),IF(D935="Sell",I935-N(G935),IF(D935="Dividend",I935-N(G935),I935+N(G935)))))</f>
        <v/>
      </c>
      <c r="K935" s="76">
        <f>IF(B935="","",DATE(YEAR(B935),MONTH(B935),1))</f>
        <v/>
      </c>
      <c r="L935" s="77">
        <f>IF(B935="","",YEAR(B935))</f>
        <v/>
      </c>
    </row>
    <row r="936" ht="19" customHeight="1">
      <c r="A936" s="69">
        <f>IF(B936="","",ROW()-5)</f>
        <v/>
      </c>
      <c r="B936" s="43" t="n"/>
      <c r="C936" s="41" t="n"/>
      <c r="D936" s="41" t="n"/>
      <c r="E936" s="70" t="n"/>
      <c r="F936" s="71" t="n"/>
      <c r="G936" s="72" t="n"/>
      <c r="H936" s="73" t="n"/>
      <c r="I936" s="74">
        <f>IF(OR(E936="",F936=""),"",E936*F936)</f>
        <v/>
      </c>
      <c r="J936" s="75">
        <f>IF(I936="","",IF(D936="Buy",I936+N(G936),IF(D936="Sell",I936-N(G936),IF(D936="Dividend",I936-N(G936),I936+N(G936)))))</f>
        <v/>
      </c>
      <c r="K936" s="76">
        <f>IF(B936="","",DATE(YEAR(B936),MONTH(B936),1))</f>
        <v/>
      </c>
      <c r="L936" s="77">
        <f>IF(B936="","",YEAR(B936))</f>
        <v/>
      </c>
    </row>
    <row r="937" ht="19" customHeight="1">
      <c r="A937" s="69">
        <f>IF(B937="","",ROW()-5)</f>
        <v/>
      </c>
      <c r="B937" s="43" t="n"/>
      <c r="C937" s="41" t="n"/>
      <c r="D937" s="41" t="n"/>
      <c r="E937" s="70" t="n"/>
      <c r="F937" s="71" t="n"/>
      <c r="G937" s="72" t="n"/>
      <c r="H937" s="73" t="n"/>
      <c r="I937" s="74">
        <f>IF(OR(E937="",F937=""),"",E937*F937)</f>
        <v/>
      </c>
      <c r="J937" s="75">
        <f>IF(I937="","",IF(D937="Buy",I937+N(G937),IF(D937="Sell",I937-N(G937),IF(D937="Dividend",I937-N(G937),I937+N(G937)))))</f>
        <v/>
      </c>
      <c r="K937" s="76">
        <f>IF(B937="","",DATE(YEAR(B937),MONTH(B937),1))</f>
        <v/>
      </c>
      <c r="L937" s="77">
        <f>IF(B937="","",YEAR(B937))</f>
        <v/>
      </c>
    </row>
    <row r="938" ht="19" customHeight="1">
      <c r="A938" s="69">
        <f>IF(B938="","",ROW()-5)</f>
        <v/>
      </c>
      <c r="B938" s="43" t="n"/>
      <c r="C938" s="41" t="n"/>
      <c r="D938" s="41" t="n"/>
      <c r="E938" s="70" t="n"/>
      <c r="F938" s="71" t="n"/>
      <c r="G938" s="72" t="n"/>
      <c r="H938" s="73" t="n"/>
      <c r="I938" s="74">
        <f>IF(OR(E938="",F938=""),"",E938*F938)</f>
        <v/>
      </c>
      <c r="J938" s="75">
        <f>IF(I938="","",IF(D938="Buy",I938+N(G938),IF(D938="Sell",I938-N(G938),IF(D938="Dividend",I938-N(G938),I938+N(G938)))))</f>
        <v/>
      </c>
      <c r="K938" s="76">
        <f>IF(B938="","",DATE(YEAR(B938),MONTH(B938),1))</f>
        <v/>
      </c>
      <c r="L938" s="77">
        <f>IF(B938="","",YEAR(B938))</f>
        <v/>
      </c>
    </row>
    <row r="939" ht="19" customHeight="1">
      <c r="A939" s="69">
        <f>IF(B939="","",ROW()-5)</f>
        <v/>
      </c>
      <c r="B939" s="43" t="n"/>
      <c r="C939" s="41" t="n"/>
      <c r="D939" s="41" t="n"/>
      <c r="E939" s="70" t="n"/>
      <c r="F939" s="71" t="n"/>
      <c r="G939" s="72" t="n"/>
      <c r="H939" s="73" t="n"/>
      <c r="I939" s="74">
        <f>IF(OR(E939="",F939=""),"",E939*F939)</f>
        <v/>
      </c>
      <c r="J939" s="75">
        <f>IF(I939="","",IF(D939="Buy",I939+N(G939),IF(D939="Sell",I939-N(G939),IF(D939="Dividend",I939-N(G939),I939+N(G939)))))</f>
        <v/>
      </c>
      <c r="K939" s="76">
        <f>IF(B939="","",DATE(YEAR(B939),MONTH(B939),1))</f>
        <v/>
      </c>
      <c r="L939" s="77">
        <f>IF(B939="","",YEAR(B939))</f>
        <v/>
      </c>
    </row>
    <row r="940" ht="19" customHeight="1">
      <c r="A940" s="69">
        <f>IF(B940="","",ROW()-5)</f>
        <v/>
      </c>
      <c r="B940" s="43" t="n"/>
      <c r="C940" s="41" t="n"/>
      <c r="D940" s="41" t="n"/>
      <c r="E940" s="70" t="n"/>
      <c r="F940" s="71" t="n"/>
      <c r="G940" s="72" t="n"/>
      <c r="H940" s="73" t="n"/>
      <c r="I940" s="74">
        <f>IF(OR(E940="",F940=""),"",E940*F940)</f>
        <v/>
      </c>
      <c r="J940" s="75">
        <f>IF(I940="","",IF(D940="Buy",I940+N(G940),IF(D940="Sell",I940-N(G940),IF(D940="Dividend",I940-N(G940),I940+N(G940)))))</f>
        <v/>
      </c>
      <c r="K940" s="76">
        <f>IF(B940="","",DATE(YEAR(B940),MONTH(B940),1))</f>
        <v/>
      </c>
      <c r="L940" s="77">
        <f>IF(B940="","",YEAR(B940))</f>
        <v/>
      </c>
    </row>
    <row r="941" ht="19" customHeight="1">
      <c r="A941" s="69">
        <f>IF(B941="","",ROW()-5)</f>
        <v/>
      </c>
      <c r="B941" s="43" t="n"/>
      <c r="C941" s="41" t="n"/>
      <c r="D941" s="41" t="n"/>
      <c r="E941" s="70" t="n"/>
      <c r="F941" s="71" t="n"/>
      <c r="G941" s="72" t="n"/>
      <c r="H941" s="73" t="n"/>
      <c r="I941" s="74">
        <f>IF(OR(E941="",F941=""),"",E941*F941)</f>
        <v/>
      </c>
      <c r="J941" s="75">
        <f>IF(I941="","",IF(D941="Buy",I941+N(G941),IF(D941="Sell",I941-N(G941),IF(D941="Dividend",I941-N(G941),I941+N(G941)))))</f>
        <v/>
      </c>
      <c r="K941" s="76">
        <f>IF(B941="","",DATE(YEAR(B941),MONTH(B941),1))</f>
        <v/>
      </c>
      <c r="L941" s="77">
        <f>IF(B941="","",YEAR(B941))</f>
        <v/>
      </c>
    </row>
    <row r="942" ht="19" customHeight="1">
      <c r="A942" s="69">
        <f>IF(B942="","",ROW()-5)</f>
        <v/>
      </c>
      <c r="B942" s="43" t="n"/>
      <c r="C942" s="41" t="n"/>
      <c r="D942" s="41" t="n"/>
      <c r="E942" s="70" t="n"/>
      <c r="F942" s="71" t="n"/>
      <c r="G942" s="72" t="n"/>
      <c r="H942" s="73" t="n"/>
      <c r="I942" s="74">
        <f>IF(OR(E942="",F942=""),"",E942*F942)</f>
        <v/>
      </c>
      <c r="J942" s="75">
        <f>IF(I942="","",IF(D942="Buy",I942+N(G942),IF(D942="Sell",I942-N(G942),IF(D942="Dividend",I942-N(G942),I942+N(G942)))))</f>
        <v/>
      </c>
      <c r="K942" s="76">
        <f>IF(B942="","",DATE(YEAR(B942),MONTH(B942),1))</f>
        <v/>
      </c>
      <c r="L942" s="77">
        <f>IF(B942="","",YEAR(B942))</f>
        <v/>
      </c>
    </row>
    <row r="943" ht="19" customHeight="1">
      <c r="A943" s="69">
        <f>IF(B943="","",ROW()-5)</f>
        <v/>
      </c>
      <c r="B943" s="43" t="n"/>
      <c r="C943" s="41" t="n"/>
      <c r="D943" s="41" t="n"/>
      <c r="E943" s="70" t="n"/>
      <c r="F943" s="71" t="n"/>
      <c r="G943" s="72" t="n"/>
      <c r="H943" s="73" t="n"/>
      <c r="I943" s="74">
        <f>IF(OR(E943="",F943=""),"",E943*F943)</f>
        <v/>
      </c>
      <c r="J943" s="75">
        <f>IF(I943="","",IF(D943="Buy",I943+N(G943),IF(D943="Sell",I943-N(G943),IF(D943="Dividend",I943-N(G943),I943+N(G943)))))</f>
        <v/>
      </c>
      <c r="K943" s="76">
        <f>IF(B943="","",DATE(YEAR(B943),MONTH(B943),1))</f>
        <v/>
      </c>
      <c r="L943" s="77">
        <f>IF(B943="","",YEAR(B943))</f>
        <v/>
      </c>
    </row>
    <row r="944" ht="19" customHeight="1">
      <c r="A944" s="69">
        <f>IF(B944="","",ROW()-5)</f>
        <v/>
      </c>
      <c r="B944" s="43" t="n"/>
      <c r="C944" s="41" t="n"/>
      <c r="D944" s="41" t="n"/>
      <c r="E944" s="70" t="n"/>
      <c r="F944" s="71" t="n"/>
      <c r="G944" s="72" t="n"/>
      <c r="H944" s="73" t="n"/>
      <c r="I944" s="74">
        <f>IF(OR(E944="",F944=""),"",E944*F944)</f>
        <v/>
      </c>
      <c r="J944" s="75">
        <f>IF(I944="","",IF(D944="Buy",I944+N(G944),IF(D944="Sell",I944-N(G944),IF(D944="Dividend",I944-N(G944),I944+N(G944)))))</f>
        <v/>
      </c>
      <c r="K944" s="76">
        <f>IF(B944="","",DATE(YEAR(B944),MONTH(B944),1))</f>
        <v/>
      </c>
      <c r="L944" s="77">
        <f>IF(B944="","",YEAR(B944))</f>
        <v/>
      </c>
    </row>
    <row r="945" ht="19" customHeight="1">
      <c r="A945" s="69">
        <f>IF(B945="","",ROW()-5)</f>
        <v/>
      </c>
      <c r="B945" s="43" t="n"/>
      <c r="C945" s="41" t="n"/>
      <c r="D945" s="41" t="n"/>
      <c r="E945" s="70" t="n"/>
      <c r="F945" s="71" t="n"/>
      <c r="G945" s="72" t="n"/>
      <c r="H945" s="73" t="n"/>
      <c r="I945" s="74">
        <f>IF(OR(E945="",F945=""),"",E945*F945)</f>
        <v/>
      </c>
      <c r="J945" s="75">
        <f>IF(I945="","",IF(D945="Buy",I945+N(G945),IF(D945="Sell",I945-N(G945),IF(D945="Dividend",I945-N(G945),I945+N(G945)))))</f>
        <v/>
      </c>
      <c r="K945" s="76">
        <f>IF(B945="","",DATE(YEAR(B945),MONTH(B945),1))</f>
        <v/>
      </c>
      <c r="L945" s="77">
        <f>IF(B945="","",YEAR(B945))</f>
        <v/>
      </c>
    </row>
    <row r="946" ht="19" customHeight="1">
      <c r="A946" s="69">
        <f>IF(B946="","",ROW()-5)</f>
        <v/>
      </c>
      <c r="B946" s="43" t="n"/>
      <c r="C946" s="41" t="n"/>
      <c r="D946" s="41" t="n"/>
      <c r="E946" s="70" t="n"/>
      <c r="F946" s="71" t="n"/>
      <c r="G946" s="72" t="n"/>
      <c r="H946" s="73" t="n"/>
      <c r="I946" s="74">
        <f>IF(OR(E946="",F946=""),"",E946*F946)</f>
        <v/>
      </c>
      <c r="J946" s="75">
        <f>IF(I946="","",IF(D946="Buy",I946+N(G946),IF(D946="Sell",I946-N(G946),IF(D946="Dividend",I946-N(G946),I946+N(G946)))))</f>
        <v/>
      </c>
      <c r="K946" s="76">
        <f>IF(B946="","",DATE(YEAR(B946),MONTH(B946),1))</f>
        <v/>
      </c>
      <c r="L946" s="77">
        <f>IF(B946="","",YEAR(B946))</f>
        <v/>
      </c>
    </row>
    <row r="947" ht="19" customHeight="1">
      <c r="A947" s="69">
        <f>IF(B947="","",ROW()-5)</f>
        <v/>
      </c>
      <c r="B947" s="43" t="n"/>
      <c r="C947" s="41" t="n"/>
      <c r="D947" s="41" t="n"/>
      <c r="E947" s="70" t="n"/>
      <c r="F947" s="71" t="n"/>
      <c r="G947" s="72" t="n"/>
      <c r="H947" s="73" t="n"/>
      <c r="I947" s="74">
        <f>IF(OR(E947="",F947=""),"",E947*F947)</f>
        <v/>
      </c>
      <c r="J947" s="75">
        <f>IF(I947="","",IF(D947="Buy",I947+N(G947),IF(D947="Sell",I947-N(G947),IF(D947="Dividend",I947-N(G947),I947+N(G947)))))</f>
        <v/>
      </c>
      <c r="K947" s="76">
        <f>IF(B947="","",DATE(YEAR(B947),MONTH(B947),1))</f>
        <v/>
      </c>
      <c r="L947" s="77">
        <f>IF(B947="","",YEAR(B947))</f>
        <v/>
      </c>
    </row>
    <row r="948" ht="19" customHeight="1">
      <c r="A948" s="69">
        <f>IF(B948="","",ROW()-5)</f>
        <v/>
      </c>
      <c r="B948" s="43" t="n"/>
      <c r="C948" s="41" t="n"/>
      <c r="D948" s="41" t="n"/>
      <c r="E948" s="70" t="n"/>
      <c r="F948" s="71" t="n"/>
      <c r="G948" s="72" t="n"/>
      <c r="H948" s="73" t="n"/>
      <c r="I948" s="74">
        <f>IF(OR(E948="",F948=""),"",E948*F948)</f>
        <v/>
      </c>
      <c r="J948" s="75">
        <f>IF(I948="","",IF(D948="Buy",I948+N(G948),IF(D948="Sell",I948-N(G948),IF(D948="Dividend",I948-N(G948),I948+N(G948)))))</f>
        <v/>
      </c>
      <c r="K948" s="76">
        <f>IF(B948="","",DATE(YEAR(B948),MONTH(B948),1))</f>
        <v/>
      </c>
      <c r="L948" s="77">
        <f>IF(B948="","",YEAR(B948))</f>
        <v/>
      </c>
    </row>
    <row r="949" ht="19" customHeight="1">
      <c r="A949" s="69">
        <f>IF(B949="","",ROW()-5)</f>
        <v/>
      </c>
      <c r="B949" s="43" t="n"/>
      <c r="C949" s="41" t="n"/>
      <c r="D949" s="41" t="n"/>
      <c r="E949" s="70" t="n"/>
      <c r="F949" s="71" t="n"/>
      <c r="G949" s="72" t="n"/>
      <c r="H949" s="73" t="n"/>
      <c r="I949" s="74">
        <f>IF(OR(E949="",F949=""),"",E949*F949)</f>
        <v/>
      </c>
      <c r="J949" s="75">
        <f>IF(I949="","",IF(D949="Buy",I949+N(G949),IF(D949="Sell",I949-N(G949),IF(D949="Dividend",I949-N(G949),I949+N(G949)))))</f>
        <v/>
      </c>
      <c r="K949" s="76">
        <f>IF(B949="","",DATE(YEAR(B949),MONTH(B949),1))</f>
        <v/>
      </c>
      <c r="L949" s="77">
        <f>IF(B949="","",YEAR(B949))</f>
        <v/>
      </c>
    </row>
    <row r="950" ht="19" customHeight="1">
      <c r="A950" s="69">
        <f>IF(B950="","",ROW()-5)</f>
        <v/>
      </c>
      <c r="B950" s="43" t="n"/>
      <c r="C950" s="41" t="n"/>
      <c r="D950" s="41" t="n"/>
      <c r="E950" s="70" t="n"/>
      <c r="F950" s="71" t="n"/>
      <c r="G950" s="72" t="n"/>
      <c r="H950" s="73" t="n"/>
      <c r="I950" s="74">
        <f>IF(OR(E950="",F950=""),"",E950*F950)</f>
        <v/>
      </c>
      <c r="J950" s="75">
        <f>IF(I950="","",IF(D950="Buy",I950+N(G950),IF(D950="Sell",I950-N(G950),IF(D950="Dividend",I950-N(G950),I950+N(G950)))))</f>
        <v/>
      </c>
      <c r="K950" s="76">
        <f>IF(B950="","",DATE(YEAR(B950),MONTH(B950),1))</f>
        <v/>
      </c>
      <c r="L950" s="77">
        <f>IF(B950="","",YEAR(B950))</f>
        <v/>
      </c>
    </row>
    <row r="951" ht="19" customHeight="1">
      <c r="A951" s="69">
        <f>IF(B951="","",ROW()-5)</f>
        <v/>
      </c>
      <c r="B951" s="43" t="n"/>
      <c r="C951" s="41" t="n"/>
      <c r="D951" s="41" t="n"/>
      <c r="E951" s="70" t="n"/>
      <c r="F951" s="71" t="n"/>
      <c r="G951" s="72" t="n"/>
      <c r="H951" s="73" t="n"/>
      <c r="I951" s="74">
        <f>IF(OR(E951="",F951=""),"",E951*F951)</f>
        <v/>
      </c>
      <c r="J951" s="75">
        <f>IF(I951="","",IF(D951="Buy",I951+N(G951),IF(D951="Sell",I951-N(G951),IF(D951="Dividend",I951-N(G951),I951+N(G951)))))</f>
        <v/>
      </c>
      <c r="K951" s="76">
        <f>IF(B951="","",DATE(YEAR(B951),MONTH(B951),1))</f>
        <v/>
      </c>
      <c r="L951" s="77">
        <f>IF(B951="","",YEAR(B951))</f>
        <v/>
      </c>
    </row>
    <row r="952" ht="19" customHeight="1">
      <c r="A952" s="69">
        <f>IF(B952="","",ROW()-5)</f>
        <v/>
      </c>
      <c r="B952" s="43" t="n"/>
      <c r="C952" s="41" t="n"/>
      <c r="D952" s="41" t="n"/>
      <c r="E952" s="70" t="n"/>
      <c r="F952" s="71" t="n"/>
      <c r="G952" s="72" t="n"/>
      <c r="H952" s="73" t="n"/>
      <c r="I952" s="74">
        <f>IF(OR(E952="",F952=""),"",E952*F952)</f>
        <v/>
      </c>
      <c r="J952" s="75">
        <f>IF(I952="","",IF(D952="Buy",I952+N(G952),IF(D952="Sell",I952-N(G952),IF(D952="Dividend",I952-N(G952),I952+N(G952)))))</f>
        <v/>
      </c>
      <c r="K952" s="76">
        <f>IF(B952="","",DATE(YEAR(B952),MONTH(B952),1))</f>
        <v/>
      </c>
      <c r="L952" s="77">
        <f>IF(B952="","",YEAR(B952))</f>
        <v/>
      </c>
    </row>
    <row r="953" ht="19" customHeight="1">
      <c r="A953" s="69">
        <f>IF(B953="","",ROW()-5)</f>
        <v/>
      </c>
      <c r="B953" s="43" t="n"/>
      <c r="C953" s="41" t="n"/>
      <c r="D953" s="41" t="n"/>
      <c r="E953" s="70" t="n"/>
      <c r="F953" s="71" t="n"/>
      <c r="G953" s="72" t="n"/>
      <c r="H953" s="73" t="n"/>
      <c r="I953" s="74">
        <f>IF(OR(E953="",F953=""),"",E953*F953)</f>
        <v/>
      </c>
      <c r="J953" s="75">
        <f>IF(I953="","",IF(D953="Buy",I953+N(G953),IF(D953="Sell",I953-N(G953),IF(D953="Dividend",I953-N(G953),I953+N(G953)))))</f>
        <v/>
      </c>
      <c r="K953" s="76">
        <f>IF(B953="","",DATE(YEAR(B953),MONTH(B953),1))</f>
        <v/>
      </c>
      <c r="L953" s="77">
        <f>IF(B953="","",YEAR(B953))</f>
        <v/>
      </c>
    </row>
    <row r="954" ht="19" customHeight="1">
      <c r="A954" s="69">
        <f>IF(B954="","",ROW()-5)</f>
        <v/>
      </c>
      <c r="B954" s="43" t="n"/>
      <c r="C954" s="41" t="n"/>
      <c r="D954" s="41" t="n"/>
      <c r="E954" s="70" t="n"/>
      <c r="F954" s="71" t="n"/>
      <c r="G954" s="72" t="n"/>
      <c r="H954" s="73" t="n"/>
      <c r="I954" s="74">
        <f>IF(OR(E954="",F954=""),"",E954*F954)</f>
        <v/>
      </c>
      <c r="J954" s="75">
        <f>IF(I954="","",IF(D954="Buy",I954+N(G954),IF(D954="Sell",I954-N(G954),IF(D954="Dividend",I954-N(G954),I954+N(G954)))))</f>
        <v/>
      </c>
      <c r="K954" s="76">
        <f>IF(B954="","",DATE(YEAR(B954),MONTH(B954),1))</f>
        <v/>
      </c>
      <c r="L954" s="77">
        <f>IF(B954="","",YEAR(B954))</f>
        <v/>
      </c>
    </row>
    <row r="955" ht="19" customHeight="1">
      <c r="A955" s="69">
        <f>IF(B955="","",ROW()-5)</f>
        <v/>
      </c>
      <c r="B955" s="43" t="n"/>
      <c r="C955" s="41" t="n"/>
      <c r="D955" s="41" t="n"/>
      <c r="E955" s="70" t="n"/>
      <c r="F955" s="71" t="n"/>
      <c r="G955" s="72" t="n"/>
      <c r="H955" s="73" t="n"/>
      <c r="I955" s="74">
        <f>IF(OR(E955="",F955=""),"",E955*F955)</f>
        <v/>
      </c>
      <c r="J955" s="75">
        <f>IF(I955="","",IF(D955="Buy",I955+N(G955),IF(D955="Sell",I955-N(G955),IF(D955="Dividend",I955-N(G955),I955+N(G955)))))</f>
        <v/>
      </c>
      <c r="K955" s="76">
        <f>IF(B955="","",DATE(YEAR(B955),MONTH(B955),1))</f>
        <v/>
      </c>
      <c r="L955" s="77">
        <f>IF(B955="","",YEAR(B955))</f>
        <v/>
      </c>
    </row>
    <row r="956" ht="19" customHeight="1">
      <c r="A956" s="69">
        <f>IF(B956="","",ROW()-5)</f>
        <v/>
      </c>
      <c r="B956" s="43" t="n"/>
      <c r="C956" s="41" t="n"/>
      <c r="D956" s="41" t="n"/>
      <c r="E956" s="70" t="n"/>
      <c r="F956" s="71" t="n"/>
      <c r="G956" s="72" t="n"/>
      <c r="H956" s="73" t="n"/>
      <c r="I956" s="74">
        <f>IF(OR(E956="",F956=""),"",E956*F956)</f>
        <v/>
      </c>
      <c r="J956" s="75">
        <f>IF(I956="","",IF(D956="Buy",I956+N(G956),IF(D956="Sell",I956-N(G956),IF(D956="Dividend",I956-N(G956),I956+N(G956)))))</f>
        <v/>
      </c>
      <c r="K956" s="76">
        <f>IF(B956="","",DATE(YEAR(B956),MONTH(B956),1))</f>
        <v/>
      </c>
      <c r="L956" s="77">
        <f>IF(B956="","",YEAR(B956))</f>
        <v/>
      </c>
    </row>
    <row r="957" ht="19" customHeight="1">
      <c r="A957" s="69">
        <f>IF(B957="","",ROW()-5)</f>
        <v/>
      </c>
      <c r="B957" s="43" t="n"/>
      <c r="C957" s="41" t="n"/>
      <c r="D957" s="41" t="n"/>
      <c r="E957" s="70" t="n"/>
      <c r="F957" s="71" t="n"/>
      <c r="G957" s="72" t="n"/>
      <c r="H957" s="73" t="n"/>
      <c r="I957" s="74">
        <f>IF(OR(E957="",F957=""),"",E957*F957)</f>
        <v/>
      </c>
      <c r="J957" s="75">
        <f>IF(I957="","",IF(D957="Buy",I957+N(G957),IF(D957="Sell",I957-N(G957),IF(D957="Dividend",I957-N(G957),I957+N(G957)))))</f>
        <v/>
      </c>
      <c r="K957" s="76">
        <f>IF(B957="","",DATE(YEAR(B957),MONTH(B957),1))</f>
        <v/>
      </c>
      <c r="L957" s="77">
        <f>IF(B957="","",YEAR(B957))</f>
        <v/>
      </c>
    </row>
    <row r="958" ht="19" customHeight="1">
      <c r="A958" s="69">
        <f>IF(B958="","",ROW()-5)</f>
        <v/>
      </c>
      <c r="B958" s="43" t="n"/>
      <c r="C958" s="41" t="n"/>
      <c r="D958" s="41" t="n"/>
      <c r="E958" s="70" t="n"/>
      <c r="F958" s="71" t="n"/>
      <c r="G958" s="72" t="n"/>
      <c r="H958" s="73" t="n"/>
      <c r="I958" s="74">
        <f>IF(OR(E958="",F958=""),"",E958*F958)</f>
        <v/>
      </c>
      <c r="J958" s="75">
        <f>IF(I958="","",IF(D958="Buy",I958+N(G958),IF(D958="Sell",I958-N(G958),IF(D958="Dividend",I958-N(G958),I958+N(G958)))))</f>
        <v/>
      </c>
      <c r="K958" s="76">
        <f>IF(B958="","",DATE(YEAR(B958),MONTH(B958),1))</f>
        <v/>
      </c>
      <c r="L958" s="77">
        <f>IF(B958="","",YEAR(B958))</f>
        <v/>
      </c>
    </row>
    <row r="959" ht="19" customHeight="1">
      <c r="A959" s="69">
        <f>IF(B959="","",ROW()-5)</f>
        <v/>
      </c>
      <c r="B959" s="43" t="n"/>
      <c r="C959" s="41" t="n"/>
      <c r="D959" s="41" t="n"/>
      <c r="E959" s="70" t="n"/>
      <c r="F959" s="71" t="n"/>
      <c r="G959" s="72" t="n"/>
      <c r="H959" s="73" t="n"/>
      <c r="I959" s="74">
        <f>IF(OR(E959="",F959=""),"",E959*F959)</f>
        <v/>
      </c>
      <c r="J959" s="75">
        <f>IF(I959="","",IF(D959="Buy",I959+N(G959),IF(D959="Sell",I959-N(G959),IF(D959="Dividend",I959-N(G959),I959+N(G959)))))</f>
        <v/>
      </c>
      <c r="K959" s="76">
        <f>IF(B959="","",DATE(YEAR(B959),MONTH(B959),1))</f>
        <v/>
      </c>
      <c r="L959" s="77">
        <f>IF(B959="","",YEAR(B959))</f>
        <v/>
      </c>
    </row>
    <row r="960" ht="19" customHeight="1">
      <c r="A960" s="69">
        <f>IF(B960="","",ROW()-5)</f>
        <v/>
      </c>
      <c r="B960" s="43" t="n"/>
      <c r="C960" s="41" t="n"/>
      <c r="D960" s="41" t="n"/>
      <c r="E960" s="70" t="n"/>
      <c r="F960" s="71" t="n"/>
      <c r="G960" s="72" t="n"/>
      <c r="H960" s="73" t="n"/>
      <c r="I960" s="74">
        <f>IF(OR(E960="",F960=""),"",E960*F960)</f>
        <v/>
      </c>
      <c r="J960" s="75">
        <f>IF(I960="","",IF(D960="Buy",I960+N(G960),IF(D960="Sell",I960-N(G960),IF(D960="Dividend",I960-N(G960),I960+N(G960)))))</f>
        <v/>
      </c>
      <c r="K960" s="76">
        <f>IF(B960="","",DATE(YEAR(B960),MONTH(B960),1))</f>
        <v/>
      </c>
      <c r="L960" s="77">
        <f>IF(B960="","",YEAR(B960))</f>
        <v/>
      </c>
    </row>
    <row r="961" ht="19" customHeight="1">
      <c r="A961" s="69">
        <f>IF(B961="","",ROW()-5)</f>
        <v/>
      </c>
      <c r="B961" s="43" t="n"/>
      <c r="C961" s="41" t="n"/>
      <c r="D961" s="41" t="n"/>
      <c r="E961" s="70" t="n"/>
      <c r="F961" s="71" t="n"/>
      <c r="G961" s="72" t="n"/>
      <c r="H961" s="73" t="n"/>
      <c r="I961" s="74">
        <f>IF(OR(E961="",F961=""),"",E961*F961)</f>
        <v/>
      </c>
      <c r="J961" s="75">
        <f>IF(I961="","",IF(D961="Buy",I961+N(G961),IF(D961="Sell",I961-N(G961),IF(D961="Dividend",I961-N(G961),I961+N(G961)))))</f>
        <v/>
      </c>
      <c r="K961" s="76">
        <f>IF(B961="","",DATE(YEAR(B961),MONTH(B961),1))</f>
        <v/>
      </c>
      <c r="L961" s="77">
        <f>IF(B961="","",YEAR(B961))</f>
        <v/>
      </c>
    </row>
    <row r="962" ht="19" customHeight="1">
      <c r="A962" s="69">
        <f>IF(B962="","",ROW()-5)</f>
        <v/>
      </c>
      <c r="B962" s="43" t="n"/>
      <c r="C962" s="41" t="n"/>
      <c r="D962" s="41" t="n"/>
      <c r="E962" s="70" t="n"/>
      <c r="F962" s="71" t="n"/>
      <c r="G962" s="72" t="n"/>
      <c r="H962" s="73" t="n"/>
      <c r="I962" s="74">
        <f>IF(OR(E962="",F962=""),"",E962*F962)</f>
        <v/>
      </c>
      <c r="J962" s="75">
        <f>IF(I962="","",IF(D962="Buy",I962+N(G962),IF(D962="Sell",I962-N(G962),IF(D962="Dividend",I962-N(G962),I962+N(G962)))))</f>
        <v/>
      </c>
      <c r="K962" s="76">
        <f>IF(B962="","",DATE(YEAR(B962),MONTH(B962),1))</f>
        <v/>
      </c>
      <c r="L962" s="77">
        <f>IF(B962="","",YEAR(B962))</f>
        <v/>
      </c>
    </row>
    <row r="963" ht="19" customHeight="1">
      <c r="A963" s="69">
        <f>IF(B963="","",ROW()-5)</f>
        <v/>
      </c>
      <c r="B963" s="43" t="n"/>
      <c r="C963" s="41" t="n"/>
      <c r="D963" s="41" t="n"/>
      <c r="E963" s="70" t="n"/>
      <c r="F963" s="71" t="n"/>
      <c r="G963" s="72" t="n"/>
      <c r="H963" s="73" t="n"/>
      <c r="I963" s="74">
        <f>IF(OR(E963="",F963=""),"",E963*F963)</f>
        <v/>
      </c>
      <c r="J963" s="75">
        <f>IF(I963="","",IF(D963="Buy",I963+N(G963),IF(D963="Sell",I963-N(G963),IF(D963="Dividend",I963-N(G963),I963+N(G963)))))</f>
        <v/>
      </c>
      <c r="K963" s="76">
        <f>IF(B963="","",DATE(YEAR(B963),MONTH(B963),1))</f>
        <v/>
      </c>
      <c r="L963" s="77">
        <f>IF(B963="","",YEAR(B963))</f>
        <v/>
      </c>
    </row>
    <row r="964" ht="19" customHeight="1">
      <c r="A964" s="69">
        <f>IF(B964="","",ROW()-5)</f>
        <v/>
      </c>
      <c r="B964" s="43" t="n"/>
      <c r="C964" s="41" t="n"/>
      <c r="D964" s="41" t="n"/>
      <c r="E964" s="70" t="n"/>
      <c r="F964" s="71" t="n"/>
      <c r="G964" s="72" t="n"/>
      <c r="H964" s="73" t="n"/>
      <c r="I964" s="74">
        <f>IF(OR(E964="",F964=""),"",E964*F964)</f>
        <v/>
      </c>
      <c r="J964" s="75">
        <f>IF(I964="","",IF(D964="Buy",I964+N(G964),IF(D964="Sell",I964-N(G964),IF(D964="Dividend",I964-N(G964),I964+N(G964)))))</f>
        <v/>
      </c>
      <c r="K964" s="76">
        <f>IF(B964="","",DATE(YEAR(B964),MONTH(B964),1))</f>
        <v/>
      </c>
      <c r="L964" s="77">
        <f>IF(B964="","",YEAR(B964))</f>
        <v/>
      </c>
    </row>
    <row r="965" ht="19" customHeight="1">
      <c r="A965" s="69">
        <f>IF(B965="","",ROW()-5)</f>
        <v/>
      </c>
      <c r="B965" s="43" t="n"/>
      <c r="C965" s="41" t="n"/>
      <c r="D965" s="41" t="n"/>
      <c r="E965" s="70" t="n"/>
      <c r="F965" s="71" t="n"/>
      <c r="G965" s="72" t="n"/>
      <c r="H965" s="73" t="n"/>
      <c r="I965" s="74">
        <f>IF(OR(E965="",F965=""),"",E965*F965)</f>
        <v/>
      </c>
      <c r="J965" s="75">
        <f>IF(I965="","",IF(D965="Buy",I965+N(G965),IF(D965="Sell",I965-N(G965),IF(D965="Dividend",I965-N(G965),I965+N(G965)))))</f>
        <v/>
      </c>
      <c r="K965" s="76">
        <f>IF(B965="","",DATE(YEAR(B965),MONTH(B965),1))</f>
        <v/>
      </c>
      <c r="L965" s="77">
        <f>IF(B965="","",YEAR(B965))</f>
        <v/>
      </c>
    </row>
    <row r="966" ht="19" customHeight="1">
      <c r="A966" s="69">
        <f>IF(B966="","",ROW()-5)</f>
        <v/>
      </c>
      <c r="B966" s="43" t="n"/>
      <c r="C966" s="41" t="n"/>
      <c r="D966" s="41" t="n"/>
      <c r="E966" s="70" t="n"/>
      <c r="F966" s="71" t="n"/>
      <c r="G966" s="72" t="n"/>
      <c r="H966" s="73" t="n"/>
      <c r="I966" s="74">
        <f>IF(OR(E966="",F966=""),"",E966*F966)</f>
        <v/>
      </c>
      <c r="J966" s="75">
        <f>IF(I966="","",IF(D966="Buy",I966+N(G966),IF(D966="Sell",I966-N(G966),IF(D966="Dividend",I966-N(G966),I966+N(G966)))))</f>
        <v/>
      </c>
      <c r="K966" s="76">
        <f>IF(B966="","",DATE(YEAR(B966),MONTH(B966),1))</f>
        <v/>
      </c>
      <c r="L966" s="77">
        <f>IF(B966="","",YEAR(B966))</f>
        <v/>
      </c>
    </row>
    <row r="967" ht="19" customHeight="1">
      <c r="A967" s="69">
        <f>IF(B967="","",ROW()-5)</f>
        <v/>
      </c>
      <c r="B967" s="43" t="n"/>
      <c r="C967" s="41" t="n"/>
      <c r="D967" s="41" t="n"/>
      <c r="E967" s="70" t="n"/>
      <c r="F967" s="71" t="n"/>
      <c r="G967" s="72" t="n"/>
      <c r="H967" s="73" t="n"/>
      <c r="I967" s="74">
        <f>IF(OR(E967="",F967=""),"",E967*F967)</f>
        <v/>
      </c>
      <c r="J967" s="75">
        <f>IF(I967="","",IF(D967="Buy",I967+N(G967),IF(D967="Sell",I967-N(G967),IF(D967="Dividend",I967-N(G967),I967+N(G967)))))</f>
        <v/>
      </c>
      <c r="K967" s="76">
        <f>IF(B967="","",DATE(YEAR(B967),MONTH(B967),1))</f>
        <v/>
      </c>
      <c r="L967" s="77">
        <f>IF(B967="","",YEAR(B967))</f>
        <v/>
      </c>
    </row>
    <row r="968" ht="19" customHeight="1">
      <c r="A968" s="69">
        <f>IF(B968="","",ROW()-5)</f>
        <v/>
      </c>
      <c r="B968" s="43" t="n"/>
      <c r="C968" s="41" t="n"/>
      <c r="D968" s="41" t="n"/>
      <c r="E968" s="70" t="n"/>
      <c r="F968" s="71" t="n"/>
      <c r="G968" s="72" t="n"/>
      <c r="H968" s="73" t="n"/>
      <c r="I968" s="74">
        <f>IF(OR(E968="",F968=""),"",E968*F968)</f>
        <v/>
      </c>
      <c r="J968" s="75">
        <f>IF(I968="","",IF(D968="Buy",I968+N(G968),IF(D968="Sell",I968-N(G968),IF(D968="Dividend",I968-N(G968),I968+N(G968)))))</f>
        <v/>
      </c>
      <c r="K968" s="76">
        <f>IF(B968="","",DATE(YEAR(B968),MONTH(B968),1))</f>
        <v/>
      </c>
      <c r="L968" s="77">
        <f>IF(B968="","",YEAR(B968))</f>
        <v/>
      </c>
    </row>
    <row r="969" ht="19" customHeight="1">
      <c r="A969" s="69">
        <f>IF(B969="","",ROW()-5)</f>
        <v/>
      </c>
      <c r="B969" s="43" t="n"/>
      <c r="C969" s="41" t="n"/>
      <c r="D969" s="41" t="n"/>
      <c r="E969" s="70" t="n"/>
      <c r="F969" s="71" t="n"/>
      <c r="G969" s="72" t="n"/>
      <c r="H969" s="73" t="n"/>
      <c r="I969" s="74">
        <f>IF(OR(E969="",F969=""),"",E969*F969)</f>
        <v/>
      </c>
      <c r="J969" s="75">
        <f>IF(I969="","",IF(D969="Buy",I969+N(G969),IF(D969="Sell",I969-N(G969),IF(D969="Dividend",I969-N(G969),I969+N(G969)))))</f>
        <v/>
      </c>
      <c r="K969" s="76">
        <f>IF(B969="","",DATE(YEAR(B969),MONTH(B969),1))</f>
        <v/>
      </c>
      <c r="L969" s="77">
        <f>IF(B969="","",YEAR(B969))</f>
        <v/>
      </c>
    </row>
    <row r="970" ht="19" customHeight="1">
      <c r="A970" s="69">
        <f>IF(B970="","",ROW()-5)</f>
        <v/>
      </c>
      <c r="B970" s="43" t="n"/>
      <c r="C970" s="41" t="n"/>
      <c r="D970" s="41" t="n"/>
      <c r="E970" s="70" t="n"/>
      <c r="F970" s="71" t="n"/>
      <c r="G970" s="72" t="n"/>
      <c r="H970" s="73" t="n"/>
      <c r="I970" s="74">
        <f>IF(OR(E970="",F970=""),"",E970*F970)</f>
        <v/>
      </c>
      <c r="J970" s="75">
        <f>IF(I970="","",IF(D970="Buy",I970+N(G970),IF(D970="Sell",I970-N(G970),IF(D970="Dividend",I970-N(G970),I970+N(G970)))))</f>
        <v/>
      </c>
      <c r="K970" s="76">
        <f>IF(B970="","",DATE(YEAR(B970),MONTH(B970),1))</f>
        <v/>
      </c>
      <c r="L970" s="77">
        <f>IF(B970="","",YEAR(B970))</f>
        <v/>
      </c>
    </row>
    <row r="971" ht="19" customHeight="1">
      <c r="A971" s="69">
        <f>IF(B971="","",ROW()-5)</f>
        <v/>
      </c>
      <c r="B971" s="43" t="n"/>
      <c r="C971" s="41" t="n"/>
      <c r="D971" s="41" t="n"/>
      <c r="E971" s="70" t="n"/>
      <c r="F971" s="71" t="n"/>
      <c r="G971" s="72" t="n"/>
      <c r="H971" s="73" t="n"/>
      <c r="I971" s="74">
        <f>IF(OR(E971="",F971=""),"",E971*F971)</f>
        <v/>
      </c>
      <c r="J971" s="75">
        <f>IF(I971="","",IF(D971="Buy",I971+N(G971),IF(D971="Sell",I971-N(G971),IF(D971="Dividend",I971-N(G971),I971+N(G971)))))</f>
        <v/>
      </c>
      <c r="K971" s="76">
        <f>IF(B971="","",DATE(YEAR(B971),MONTH(B971),1))</f>
        <v/>
      </c>
      <c r="L971" s="77">
        <f>IF(B971="","",YEAR(B971))</f>
        <v/>
      </c>
    </row>
    <row r="972" ht="19" customHeight="1">
      <c r="A972" s="69">
        <f>IF(B972="","",ROW()-5)</f>
        <v/>
      </c>
      <c r="B972" s="43" t="n"/>
      <c r="C972" s="41" t="n"/>
      <c r="D972" s="41" t="n"/>
      <c r="E972" s="70" t="n"/>
      <c r="F972" s="71" t="n"/>
      <c r="G972" s="72" t="n"/>
      <c r="H972" s="73" t="n"/>
      <c r="I972" s="74">
        <f>IF(OR(E972="",F972=""),"",E972*F972)</f>
        <v/>
      </c>
      <c r="J972" s="75">
        <f>IF(I972="","",IF(D972="Buy",I972+N(G972),IF(D972="Sell",I972-N(G972),IF(D972="Dividend",I972-N(G972),I972+N(G972)))))</f>
        <v/>
      </c>
      <c r="K972" s="76">
        <f>IF(B972="","",DATE(YEAR(B972),MONTH(B972),1))</f>
        <v/>
      </c>
      <c r="L972" s="77">
        <f>IF(B972="","",YEAR(B972))</f>
        <v/>
      </c>
    </row>
    <row r="973" ht="19" customHeight="1">
      <c r="A973" s="69">
        <f>IF(B973="","",ROW()-5)</f>
        <v/>
      </c>
      <c r="B973" s="43" t="n"/>
      <c r="C973" s="41" t="n"/>
      <c r="D973" s="41" t="n"/>
      <c r="E973" s="70" t="n"/>
      <c r="F973" s="71" t="n"/>
      <c r="G973" s="72" t="n"/>
      <c r="H973" s="73" t="n"/>
      <c r="I973" s="74">
        <f>IF(OR(E973="",F973=""),"",E973*F973)</f>
        <v/>
      </c>
      <c r="J973" s="75">
        <f>IF(I973="","",IF(D973="Buy",I973+N(G973),IF(D973="Sell",I973-N(G973),IF(D973="Dividend",I973-N(G973),I973+N(G973)))))</f>
        <v/>
      </c>
      <c r="K973" s="76">
        <f>IF(B973="","",DATE(YEAR(B973),MONTH(B973),1))</f>
        <v/>
      </c>
      <c r="L973" s="77">
        <f>IF(B973="","",YEAR(B973))</f>
        <v/>
      </c>
    </row>
    <row r="974" ht="19" customHeight="1">
      <c r="A974" s="69">
        <f>IF(B974="","",ROW()-5)</f>
        <v/>
      </c>
      <c r="B974" s="43" t="n"/>
      <c r="C974" s="41" t="n"/>
      <c r="D974" s="41" t="n"/>
      <c r="E974" s="70" t="n"/>
      <c r="F974" s="71" t="n"/>
      <c r="G974" s="72" t="n"/>
      <c r="H974" s="73" t="n"/>
      <c r="I974" s="74">
        <f>IF(OR(E974="",F974=""),"",E974*F974)</f>
        <v/>
      </c>
      <c r="J974" s="75">
        <f>IF(I974="","",IF(D974="Buy",I974+N(G974),IF(D974="Sell",I974-N(G974),IF(D974="Dividend",I974-N(G974),I974+N(G974)))))</f>
        <v/>
      </c>
      <c r="K974" s="76">
        <f>IF(B974="","",DATE(YEAR(B974),MONTH(B974),1))</f>
        <v/>
      </c>
      <c r="L974" s="77">
        <f>IF(B974="","",YEAR(B974))</f>
        <v/>
      </c>
    </row>
    <row r="975" ht="19" customHeight="1">
      <c r="A975" s="69">
        <f>IF(B975="","",ROW()-5)</f>
        <v/>
      </c>
      <c r="B975" s="43" t="n"/>
      <c r="C975" s="41" t="n"/>
      <c r="D975" s="41" t="n"/>
      <c r="E975" s="70" t="n"/>
      <c r="F975" s="71" t="n"/>
      <c r="G975" s="72" t="n"/>
      <c r="H975" s="73" t="n"/>
      <c r="I975" s="74">
        <f>IF(OR(E975="",F975=""),"",E975*F975)</f>
        <v/>
      </c>
      <c r="J975" s="75">
        <f>IF(I975="","",IF(D975="Buy",I975+N(G975),IF(D975="Sell",I975-N(G975),IF(D975="Dividend",I975-N(G975),I975+N(G975)))))</f>
        <v/>
      </c>
      <c r="K975" s="76">
        <f>IF(B975="","",DATE(YEAR(B975),MONTH(B975),1))</f>
        <v/>
      </c>
      <c r="L975" s="77">
        <f>IF(B975="","",YEAR(B975))</f>
        <v/>
      </c>
    </row>
    <row r="976" ht="19" customHeight="1">
      <c r="A976" s="69">
        <f>IF(B976="","",ROW()-5)</f>
        <v/>
      </c>
      <c r="B976" s="43" t="n"/>
      <c r="C976" s="41" t="n"/>
      <c r="D976" s="41" t="n"/>
      <c r="E976" s="70" t="n"/>
      <c r="F976" s="71" t="n"/>
      <c r="G976" s="72" t="n"/>
      <c r="H976" s="73" t="n"/>
      <c r="I976" s="74">
        <f>IF(OR(E976="",F976=""),"",E976*F976)</f>
        <v/>
      </c>
      <c r="J976" s="75">
        <f>IF(I976="","",IF(D976="Buy",I976+N(G976),IF(D976="Sell",I976-N(G976),IF(D976="Dividend",I976-N(G976),I976+N(G976)))))</f>
        <v/>
      </c>
      <c r="K976" s="76">
        <f>IF(B976="","",DATE(YEAR(B976),MONTH(B976),1))</f>
        <v/>
      </c>
      <c r="L976" s="77">
        <f>IF(B976="","",YEAR(B976))</f>
        <v/>
      </c>
    </row>
    <row r="977" ht="19" customHeight="1">
      <c r="A977" s="69">
        <f>IF(B977="","",ROW()-5)</f>
        <v/>
      </c>
      <c r="B977" s="43" t="n"/>
      <c r="C977" s="41" t="n"/>
      <c r="D977" s="41" t="n"/>
      <c r="E977" s="70" t="n"/>
      <c r="F977" s="71" t="n"/>
      <c r="G977" s="72" t="n"/>
      <c r="H977" s="73" t="n"/>
      <c r="I977" s="74">
        <f>IF(OR(E977="",F977=""),"",E977*F977)</f>
        <v/>
      </c>
      <c r="J977" s="75">
        <f>IF(I977="","",IF(D977="Buy",I977+N(G977),IF(D977="Sell",I977-N(G977),IF(D977="Dividend",I977-N(G977),I977+N(G977)))))</f>
        <v/>
      </c>
      <c r="K977" s="76">
        <f>IF(B977="","",DATE(YEAR(B977),MONTH(B977),1))</f>
        <v/>
      </c>
      <c r="L977" s="77">
        <f>IF(B977="","",YEAR(B977))</f>
        <v/>
      </c>
    </row>
    <row r="978" ht="19" customHeight="1">
      <c r="A978" s="69">
        <f>IF(B978="","",ROW()-5)</f>
        <v/>
      </c>
      <c r="B978" s="43" t="n"/>
      <c r="C978" s="41" t="n"/>
      <c r="D978" s="41" t="n"/>
      <c r="E978" s="70" t="n"/>
      <c r="F978" s="71" t="n"/>
      <c r="G978" s="72" t="n"/>
      <c r="H978" s="73" t="n"/>
      <c r="I978" s="74">
        <f>IF(OR(E978="",F978=""),"",E978*F978)</f>
        <v/>
      </c>
      <c r="J978" s="75">
        <f>IF(I978="","",IF(D978="Buy",I978+N(G978),IF(D978="Sell",I978-N(G978),IF(D978="Dividend",I978-N(G978),I978+N(G978)))))</f>
        <v/>
      </c>
      <c r="K978" s="76">
        <f>IF(B978="","",DATE(YEAR(B978),MONTH(B978),1))</f>
        <v/>
      </c>
      <c r="L978" s="77">
        <f>IF(B978="","",YEAR(B978))</f>
        <v/>
      </c>
    </row>
    <row r="979" ht="19" customHeight="1">
      <c r="A979" s="69">
        <f>IF(B979="","",ROW()-5)</f>
        <v/>
      </c>
      <c r="B979" s="43" t="n"/>
      <c r="C979" s="41" t="n"/>
      <c r="D979" s="41" t="n"/>
      <c r="E979" s="70" t="n"/>
      <c r="F979" s="71" t="n"/>
      <c r="G979" s="72" t="n"/>
      <c r="H979" s="73" t="n"/>
      <c r="I979" s="74">
        <f>IF(OR(E979="",F979=""),"",E979*F979)</f>
        <v/>
      </c>
      <c r="J979" s="75">
        <f>IF(I979="","",IF(D979="Buy",I979+N(G979),IF(D979="Sell",I979-N(G979),IF(D979="Dividend",I979-N(G979),I979+N(G979)))))</f>
        <v/>
      </c>
      <c r="K979" s="76">
        <f>IF(B979="","",DATE(YEAR(B979),MONTH(B979),1))</f>
        <v/>
      </c>
      <c r="L979" s="77">
        <f>IF(B979="","",YEAR(B979))</f>
        <v/>
      </c>
    </row>
    <row r="980" ht="19" customHeight="1">
      <c r="A980" s="69">
        <f>IF(B980="","",ROW()-5)</f>
        <v/>
      </c>
      <c r="B980" s="43" t="n"/>
      <c r="C980" s="41" t="n"/>
      <c r="D980" s="41" t="n"/>
      <c r="E980" s="70" t="n"/>
      <c r="F980" s="71" t="n"/>
      <c r="G980" s="72" t="n"/>
      <c r="H980" s="73" t="n"/>
      <c r="I980" s="74">
        <f>IF(OR(E980="",F980=""),"",E980*F980)</f>
        <v/>
      </c>
      <c r="J980" s="75">
        <f>IF(I980="","",IF(D980="Buy",I980+N(G980),IF(D980="Sell",I980-N(G980),IF(D980="Dividend",I980-N(G980),I980+N(G980)))))</f>
        <v/>
      </c>
      <c r="K980" s="76">
        <f>IF(B980="","",DATE(YEAR(B980),MONTH(B980),1))</f>
        <v/>
      </c>
      <c r="L980" s="77">
        <f>IF(B980="","",YEAR(B980))</f>
        <v/>
      </c>
    </row>
    <row r="981" ht="19" customHeight="1">
      <c r="A981" s="69">
        <f>IF(B981="","",ROW()-5)</f>
        <v/>
      </c>
      <c r="B981" s="43" t="n"/>
      <c r="C981" s="41" t="n"/>
      <c r="D981" s="41" t="n"/>
      <c r="E981" s="70" t="n"/>
      <c r="F981" s="71" t="n"/>
      <c r="G981" s="72" t="n"/>
      <c r="H981" s="73" t="n"/>
      <c r="I981" s="74">
        <f>IF(OR(E981="",F981=""),"",E981*F981)</f>
        <v/>
      </c>
      <c r="J981" s="75">
        <f>IF(I981="","",IF(D981="Buy",I981+N(G981),IF(D981="Sell",I981-N(G981),IF(D981="Dividend",I981-N(G981),I981+N(G981)))))</f>
        <v/>
      </c>
      <c r="K981" s="76">
        <f>IF(B981="","",DATE(YEAR(B981),MONTH(B981),1))</f>
        <v/>
      </c>
      <c r="L981" s="77">
        <f>IF(B981="","",YEAR(B981))</f>
        <v/>
      </c>
    </row>
    <row r="982" ht="19" customHeight="1">
      <c r="A982" s="69">
        <f>IF(B982="","",ROW()-5)</f>
        <v/>
      </c>
      <c r="B982" s="43" t="n"/>
      <c r="C982" s="41" t="n"/>
      <c r="D982" s="41" t="n"/>
      <c r="E982" s="70" t="n"/>
      <c r="F982" s="71" t="n"/>
      <c r="G982" s="72" t="n"/>
      <c r="H982" s="73" t="n"/>
      <c r="I982" s="74">
        <f>IF(OR(E982="",F982=""),"",E982*F982)</f>
        <v/>
      </c>
      <c r="J982" s="75">
        <f>IF(I982="","",IF(D982="Buy",I982+N(G982),IF(D982="Sell",I982-N(G982),IF(D982="Dividend",I982-N(G982),I982+N(G982)))))</f>
        <v/>
      </c>
      <c r="K982" s="76">
        <f>IF(B982="","",DATE(YEAR(B982),MONTH(B982),1))</f>
        <v/>
      </c>
      <c r="L982" s="77">
        <f>IF(B982="","",YEAR(B982))</f>
        <v/>
      </c>
    </row>
    <row r="983" ht="19" customHeight="1">
      <c r="A983" s="69">
        <f>IF(B983="","",ROW()-5)</f>
        <v/>
      </c>
      <c r="B983" s="43" t="n"/>
      <c r="C983" s="41" t="n"/>
      <c r="D983" s="41" t="n"/>
      <c r="E983" s="70" t="n"/>
      <c r="F983" s="71" t="n"/>
      <c r="G983" s="72" t="n"/>
      <c r="H983" s="73" t="n"/>
      <c r="I983" s="74">
        <f>IF(OR(E983="",F983=""),"",E983*F983)</f>
        <v/>
      </c>
      <c r="J983" s="75">
        <f>IF(I983="","",IF(D983="Buy",I983+N(G983),IF(D983="Sell",I983-N(G983),IF(D983="Dividend",I983-N(G983),I983+N(G983)))))</f>
        <v/>
      </c>
      <c r="K983" s="76">
        <f>IF(B983="","",DATE(YEAR(B983),MONTH(B983),1))</f>
        <v/>
      </c>
      <c r="L983" s="77">
        <f>IF(B983="","",YEAR(B983))</f>
        <v/>
      </c>
    </row>
    <row r="984" ht="19" customHeight="1">
      <c r="A984" s="69">
        <f>IF(B984="","",ROW()-5)</f>
        <v/>
      </c>
      <c r="B984" s="43" t="n"/>
      <c r="C984" s="41" t="n"/>
      <c r="D984" s="41" t="n"/>
      <c r="E984" s="70" t="n"/>
      <c r="F984" s="71" t="n"/>
      <c r="G984" s="72" t="n"/>
      <c r="H984" s="73" t="n"/>
      <c r="I984" s="74">
        <f>IF(OR(E984="",F984=""),"",E984*F984)</f>
        <v/>
      </c>
      <c r="J984" s="75">
        <f>IF(I984="","",IF(D984="Buy",I984+N(G984),IF(D984="Sell",I984-N(G984),IF(D984="Dividend",I984-N(G984),I984+N(G984)))))</f>
        <v/>
      </c>
      <c r="K984" s="76">
        <f>IF(B984="","",DATE(YEAR(B984),MONTH(B984),1))</f>
        <v/>
      </c>
      <c r="L984" s="77">
        <f>IF(B984="","",YEAR(B984))</f>
        <v/>
      </c>
    </row>
    <row r="985" ht="19" customHeight="1">
      <c r="A985" s="69">
        <f>IF(B985="","",ROW()-5)</f>
        <v/>
      </c>
      <c r="B985" s="43" t="n"/>
      <c r="C985" s="41" t="n"/>
      <c r="D985" s="41" t="n"/>
      <c r="E985" s="70" t="n"/>
      <c r="F985" s="71" t="n"/>
      <c r="G985" s="72" t="n"/>
      <c r="H985" s="73" t="n"/>
      <c r="I985" s="74">
        <f>IF(OR(E985="",F985=""),"",E985*F985)</f>
        <v/>
      </c>
      <c r="J985" s="75">
        <f>IF(I985="","",IF(D985="Buy",I985+N(G985),IF(D985="Sell",I985-N(G985),IF(D985="Dividend",I985-N(G985),I985+N(G985)))))</f>
        <v/>
      </c>
      <c r="K985" s="76">
        <f>IF(B985="","",DATE(YEAR(B985),MONTH(B985),1))</f>
        <v/>
      </c>
      <c r="L985" s="77">
        <f>IF(B985="","",YEAR(B985))</f>
        <v/>
      </c>
    </row>
    <row r="986" ht="19" customHeight="1">
      <c r="A986" s="69">
        <f>IF(B986="","",ROW()-5)</f>
        <v/>
      </c>
      <c r="B986" s="43" t="n"/>
      <c r="C986" s="41" t="n"/>
      <c r="D986" s="41" t="n"/>
      <c r="E986" s="70" t="n"/>
      <c r="F986" s="71" t="n"/>
      <c r="G986" s="72" t="n"/>
      <c r="H986" s="73" t="n"/>
      <c r="I986" s="74">
        <f>IF(OR(E986="",F986=""),"",E986*F986)</f>
        <v/>
      </c>
      <c r="J986" s="75">
        <f>IF(I986="","",IF(D986="Buy",I986+N(G986),IF(D986="Sell",I986-N(G986),IF(D986="Dividend",I986-N(G986),I986+N(G986)))))</f>
        <v/>
      </c>
      <c r="K986" s="76">
        <f>IF(B986="","",DATE(YEAR(B986),MONTH(B986),1))</f>
        <v/>
      </c>
      <c r="L986" s="77">
        <f>IF(B986="","",YEAR(B986))</f>
        <v/>
      </c>
    </row>
    <row r="987" ht="19" customHeight="1">
      <c r="A987" s="69">
        <f>IF(B987="","",ROW()-5)</f>
        <v/>
      </c>
      <c r="B987" s="43" t="n"/>
      <c r="C987" s="41" t="n"/>
      <c r="D987" s="41" t="n"/>
      <c r="E987" s="70" t="n"/>
      <c r="F987" s="71" t="n"/>
      <c r="G987" s="72" t="n"/>
      <c r="H987" s="73" t="n"/>
      <c r="I987" s="74">
        <f>IF(OR(E987="",F987=""),"",E987*F987)</f>
        <v/>
      </c>
      <c r="J987" s="75">
        <f>IF(I987="","",IF(D987="Buy",I987+N(G987),IF(D987="Sell",I987-N(G987),IF(D987="Dividend",I987-N(G987),I987+N(G987)))))</f>
        <v/>
      </c>
      <c r="K987" s="76">
        <f>IF(B987="","",DATE(YEAR(B987),MONTH(B987),1))</f>
        <v/>
      </c>
      <c r="L987" s="77">
        <f>IF(B987="","",YEAR(B987))</f>
        <v/>
      </c>
    </row>
    <row r="988" ht="19" customHeight="1">
      <c r="A988" s="69">
        <f>IF(B988="","",ROW()-5)</f>
        <v/>
      </c>
      <c r="B988" s="43" t="n"/>
      <c r="C988" s="41" t="n"/>
      <c r="D988" s="41" t="n"/>
      <c r="E988" s="70" t="n"/>
      <c r="F988" s="71" t="n"/>
      <c r="G988" s="72" t="n"/>
      <c r="H988" s="73" t="n"/>
      <c r="I988" s="74">
        <f>IF(OR(E988="",F988=""),"",E988*F988)</f>
        <v/>
      </c>
      <c r="J988" s="75">
        <f>IF(I988="","",IF(D988="Buy",I988+N(G988),IF(D988="Sell",I988-N(G988),IF(D988="Dividend",I988-N(G988),I988+N(G988)))))</f>
        <v/>
      </c>
      <c r="K988" s="76">
        <f>IF(B988="","",DATE(YEAR(B988),MONTH(B988),1))</f>
        <v/>
      </c>
      <c r="L988" s="77">
        <f>IF(B988="","",YEAR(B988))</f>
        <v/>
      </c>
    </row>
    <row r="989" ht="19" customHeight="1">
      <c r="A989" s="69">
        <f>IF(B989="","",ROW()-5)</f>
        <v/>
      </c>
      <c r="B989" s="43" t="n"/>
      <c r="C989" s="41" t="n"/>
      <c r="D989" s="41" t="n"/>
      <c r="E989" s="70" t="n"/>
      <c r="F989" s="71" t="n"/>
      <c r="G989" s="72" t="n"/>
      <c r="H989" s="73" t="n"/>
      <c r="I989" s="74">
        <f>IF(OR(E989="",F989=""),"",E989*F989)</f>
        <v/>
      </c>
      <c r="J989" s="75">
        <f>IF(I989="","",IF(D989="Buy",I989+N(G989),IF(D989="Sell",I989-N(G989),IF(D989="Dividend",I989-N(G989),I989+N(G989)))))</f>
        <v/>
      </c>
      <c r="K989" s="76">
        <f>IF(B989="","",DATE(YEAR(B989),MONTH(B989),1))</f>
        <v/>
      </c>
      <c r="L989" s="77">
        <f>IF(B989="","",YEAR(B989))</f>
        <v/>
      </c>
    </row>
    <row r="990" ht="19" customHeight="1">
      <c r="A990" s="69">
        <f>IF(B990="","",ROW()-5)</f>
        <v/>
      </c>
      <c r="B990" s="43" t="n"/>
      <c r="C990" s="41" t="n"/>
      <c r="D990" s="41" t="n"/>
      <c r="E990" s="70" t="n"/>
      <c r="F990" s="71" t="n"/>
      <c r="G990" s="72" t="n"/>
      <c r="H990" s="73" t="n"/>
      <c r="I990" s="74">
        <f>IF(OR(E990="",F990=""),"",E990*F990)</f>
        <v/>
      </c>
      <c r="J990" s="75">
        <f>IF(I990="","",IF(D990="Buy",I990+N(G990),IF(D990="Sell",I990-N(G990),IF(D990="Dividend",I990-N(G990),I990+N(G990)))))</f>
        <v/>
      </c>
      <c r="K990" s="76">
        <f>IF(B990="","",DATE(YEAR(B990),MONTH(B990),1))</f>
        <v/>
      </c>
      <c r="L990" s="77">
        <f>IF(B990="","",YEAR(B990))</f>
        <v/>
      </c>
    </row>
    <row r="991" ht="19" customHeight="1">
      <c r="A991" s="69">
        <f>IF(B991="","",ROW()-5)</f>
        <v/>
      </c>
      <c r="B991" s="43" t="n"/>
      <c r="C991" s="41" t="n"/>
      <c r="D991" s="41" t="n"/>
      <c r="E991" s="70" t="n"/>
      <c r="F991" s="71" t="n"/>
      <c r="G991" s="72" t="n"/>
      <c r="H991" s="73" t="n"/>
      <c r="I991" s="74">
        <f>IF(OR(E991="",F991=""),"",E991*F991)</f>
        <v/>
      </c>
      <c r="J991" s="75">
        <f>IF(I991="","",IF(D991="Buy",I991+N(G991),IF(D991="Sell",I991-N(G991),IF(D991="Dividend",I991-N(G991),I991+N(G991)))))</f>
        <v/>
      </c>
      <c r="K991" s="76">
        <f>IF(B991="","",DATE(YEAR(B991),MONTH(B991),1))</f>
        <v/>
      </c>
      <c r="L991" s="77">
        <f>IF(B991="","",YEAR(B991))</f>
        <v/>
      </c>
    </row>
    <row r="992" ht="19" customHeight="1">
      <c r="A992" s="69">
        <f>IF(B992="","",ROW()-5)</f>
        <v/>
      </c>
      <c r="B992" s="43" t="n"/>
      <c r="C992" s="41" t="n"/>
      <c r="D992" s="41" t="n"/>
      <c r="E992" s="70" t="n"/>
      <c r="F992" s="71" t="n"/>
      <c r="G992" s="72" t="n"/>
      <c r="H992" s="73" t="n"/>
      <c r="I992" s="74">
        <f>IF(OR(E992="",F992=""),"",E992*F992)</f>
        <v/>
      </c>
      <c r="J992" s="75">
        <f>IF(I992="","",IF(D992="Buy",I992+N(G992),IF(D992="Sell",I992-N(G992),IF(D992="Dividend",I992-N(G992),I992+N(G992)))))</f>
        <v/>
      </c>
      <c r="K992" s="76">
        <f>IF(B992="","",DATE(YEAR(B992),MONTH(B992),1))</f>
        <v/>
      </c>
      <c r="L992" s="77">
        <f>IF(B992="","",YEAR(B992))</f>
        <v/>
      </c>
    </row>
    <row r="993" ht="19" customHeight="1">
      <c r="A993" s="69">
        <f>IF(B993="","",ROW()-5)</f>
        <v/>
      </c>
      <c r="B993" s="43" t="n"/>
      <c r="C993" s="41" t="n"/>
      <c r="D993" s="41" t="n"/>
      <c r="E993" s="70" t="n"/>
      <c r="F993" s="71" t="n"/>
      <c r="G993" s="72" t="n"/>
      <c r="H993" s="73" t="n"/>
      <c r="I993" s="74">
        <f>IF(OR(E993="",F993=""),"",E993*F993)</f>
        <v/>
      </c>
      <c r="J993" s="75">
        <f>IF(I993="","",IF(D993="Buy",I993+N(G993),IF(D993="Sell",I993-N(G993),IF(D993="Dividend",I993-N(G993),I993+N(G993)))))</f>
        <v/>
      </c>
      <c r="K993" s="76">
        <f>IF(B993="","",DATE(YEAR(B993),MONTH(B993),1))</f>
        <v/>
      </c>
      <c r="L993" s="77">
        <f>IF(B993="","",YEAR(B993))</f>
        <v/>
      </c>
    </row>
    <row r="994" ht="19" customHeight="1">
      <c r="A994" s="69">
        <f>IF(B994="","",ROW()-5)</f>
        <v/>
      </c>
      <c r="B994" s="43" t="n"/>
      <c r="C994" s="41" t="n"/>
      <c r="D994" s="41" t="n"/>
      <c r="E994" s="70" t="n"/>
      <c r="F994" s="71" t="n"/>
      <c r="G994" s="72" t="n"/>
      <c r="H994" s="73" t="n"/>
      <c r="I994" s="74">
        <f>IF(OR(E994="",F994=""),"",E994*F994)</f>
        <v/>
      </c>
      <c r="J994" s="75">
        <f>IF(I994="","",IF(D994="Buy",I994+N(G994),IF(D994="Sell",I994-N(G994),IF(D994="Dividend",I994-N(G994),I994+N(G994)))))</f>
        <v/>
      </c>
      <c r="K994" s="76">
        <f>IF(B994="","",DATE(YEAR(B994),MONTH(B994),1))</f>
        <v/>
      </c>
      <c r="L994" s="77">
        <f>IF(B994="","",YEAR(B994))</f>
        <v/>
      </c>
    </row>
    <row r="995" ht="19" customHeight="1">
      <c r="A995" s="69">
        <f>IF(B995="","",ROW()-5)</f>
        <v/>
      </c>
      <c r="B995" s="43" t="n"/>
      <c r="C995" s="41" t="n"/>
      <c r="D995" s="41" t="n"/>
      <c r="E995" s="70" t="n"/>
      <c r="F995" s="71" t="n"/>
      <c r="G995" s="72" t="n"/>
      <c r="H995" s="73" t="n"/>
      <c r="I995" s="74">
        <f>IF(OR(E995="",F995=""),"",E995*F995)</f>
        <v/>
      </c>
      <c r="J995" s="75">
        <f>IF(I995="","",IF(D995="Buy",I995+N(G995),IF(D995="Sell",I995-N(G995),IF(D995="Dividend",I995-N(G995),I995+N(G995)))))</f>
        <v/>
      </c>
      <c r="K995" s="76">
        <f>IF(B995="","",DATE(YEAR(B995),MONTH(B995),1))</f>
        <v/>
      </c>
      <c r="L995" s="77">
        <f>IF(B995="","",YEAR(B995))</f>
        <v/>
      </c>
    </row>
    <row r="996" ht="19" customHeight="1">
      <c r="A996" s="69">
        <f>IF(B996="","",ROW()-5)</f>
        <v/>
      </c>
      <c r="B996" s="43" t="n"/>
      <c r="C996" s="41" t="n"/>
      <c r="D996" s="41" t="n"/>
      <c r="E996" s="70" t="n"/>
      <c r="F996" s="71" t="n"/>
      <c r="G996" s="72" t="n"/>
      <c r="H996" s="73" t="n"/>
      <c r="I996" s="74">
        <f>IF(OR(E996="",F996=""),"",E996*F996)</f>
        <v/>
      </c>
      <c r="J996" s="75">
        <f>IF(I996="","",IF(D996="Buy",I996+N(G996),IF(D996="Sell",I996-N(G996),IF(D996="Dividend",I996-N(G996),I996+N(G996)))))</f>
        <v/>
      </c>
      <c r="K996" s="76">
        <f>IF(B996="","",DATE(YEAR(B996),MONTH(B996),1))</f>
        <v/>
      </c>
      <c r="L996" s="77">
        <f>IF(B996="","",YEAR(B996))</f>
        <v/>
      </c>
    </row>
    <row r="997" ht="19" customHeight="1">
      <c r="A997" s="69">
        <f>IF(B997="","",ROW()-5)</f>
        <v/>
      </c>
      <c r="B997" s="43" t="n"/>
      <c r="C997" s="41" t="n"/>
      <c r="D997" s="41" t="n"/>
      <c r="E997" s="70" t="n"/>
      <c r="F997" s="71" t="n"/>
      <c r="G997" s="72" t="n"/>
      <c r="H997" s="73" t="n"/>
      <c r="I997" s="74">
        <f>IF(OR(E997="",F997=""),"",E997*F997)</f>
        <v/>
      </c>
      <c r="J997" s="75">
        <f>IF(I997="","",IF(D997="Buy",I997+N(G997),IF(D997="Sell",I997-N(G997),IF(D997="Dividend",I997-N(G997),I997+N(G997)))))</f>
        <v/>
      </c>
      <c r="K997" s="76">
        <f>IF(B997="","",DATE(YEAR(B997),MONTH(B997),1))</f>
        <v/>
      </c>
      <c r="L997" s="77">
        <f>IF(B997="","",YEAR(B997))</f>
        <v/>
      </c>
    </row>
    <row r="998" ht="19" customHeight="1">
      <c r="A998" s="69">
        <f>IF(B998="","",ROW()-5)</f>
        <v/>
      </c>
      <c r="B998" s="43" t="n"/>
      <c r="C998" s="41" t="n"/>
      <c r="D998" s="41" t="n"/>
      <c r="E998" s="70" t="n"/>
      <c r="F998" s="71" t="n"/>
      <c r="G998" s="72" t="n"/>
      <c r="H998" s="73" t="n"/>
      <c r="I998" s="74">
        <f>IF(OR(E998="",F998=""),"",E998*F998)</f>
        <v/>
      </c>
      <c r="J998" s="75">
        <f>IF(I998="","",IF(D998="Buy",I998+N(G998),IF(D998="Sell",I998-N(G998),IF(D998="Dividend",I998-N(G998),I998+N(G998)))))</f>
        <v/>
      </c>
      <c r="K998" s="76">
        <f>IF(B998="","",DATE(YEAR(B998),MONTH(B998),1))</f>
        <v/>
      </c>
      <c r="L998" s="77">
        <f>IF(B998="","",YEAR(B998))</f>
        <v/>
      </c>
    </row>
    <row r="999" ht="19" customHeight="1">
      <c r="A999" s="69">
        <f>IF(B999="","",ROW()-5)</f>
        <v/>
      </c>
      <c r="B999" s="43" t="n"/>
      <c r="C999" s="41" t="n"/>
      <c r="D999" s="41" t="n"/>
      <c r="E999" s="70" t="n"/>
      <c r="F999" s="71" t="n"/>
      <c r="G999" s="72" t="n"/>
      <c r="H999" s="73" t="n"/>
      <c r="I999" s="74">
        <f>IF(OR(E999="",F999=""),"",E999*F999)</f>
        <v/>
      </c>
      <c r="J999" s="75">
        <f>IF(I999="","",IF(D999="Buy",I999+N(G999),IF(D999="Sell",I999-N(G999),IF(D999="Dividend",I999-N(G999),I999+N(G999)))))</f>
        <v/>
      </c>
      <c r="K999" s="76">
        <f>IF(B999="","",DATE(YEAR(B999),MONTH(B999),1))</f>
        <v/>
      </c>
      <c r="L999" s="77">
        <f>IF(B999="","",YEAR(B999))</f>
        <v/>
      </c>
    </row>
    <row r="1000" ht="19" customHeight="1">
      <c r="A1000" s="69">
        <f>IF(B1000="","",ROW()-5)</f>
        <v/>
      </c>
      <c r="B1000" s="43" t="n"/>
      <c r="C1000" s="41" t="n"/>
      <c r="D1000" s="41" t="n"/>
      <c r="E1000" s="70" t="n"/>
      <c r="F1000" s="71" t="n"/>
      <c r="G1000" s="72" t="n"/>
      <c r="H1000" s="73" t="n"/>
      <c r="I1000" s="74">
        <f>IF(OR(E1000="",F1000=""),"",E1000*F1000)</f>
        <v/>
      </c>
      <c r="J1000" s="75">
        <f>IF(I1000="","",IF(D1000="Buy",I1000+N(G1000),IF(D1000="Sell",I1000-N(G1000),IF(D1000="Dividend",I1000-N(G1000),I1000+N(G1000)))))</f>
        <v/>
      </c>
      <c r="K1000" s="76">
        <f>IF(B1000="","",DATE(YEAR(B1000),MONTH(B1000),1))</f>
        <v/>
      </c>
      <c r="L1000" s="77">
        <f>IF(B1000="","",YEAR(B1000))</f>
        <v/>
      </c>
    </row>
    <row r="1001" ht="19" customHeight="1">
      <c r="A1001" s="69">
        <f>IF(B1001="","",ROW()-5)</f>
        <v/>
      </c>
      <c r="B1001" s="43" t="n"/>
      <c r="C1001" s="41" t="n"/>
      <c r="D1001" s="41" t="n"/>
      <c r="E1001" s="70" t="n"/>
      <c r="F1001" s="71" t="n"/>
      <c r="G1001" s="72" t="n"/>
      <c r="H1001" s="73" t="n"/>
      <c r="I1001" s="74">
        <f>IF(OR(E1001="",F1001=""),"",E1001*F1001)</f>
        <v/>
      </c>
      <c r="J1001" s="75">
        <f>IF(I1001="","",IF(D1001="Buy",I1001+N(G1001),IF(D1001="Sell",I1001-N(G1001),IF(D1001="Dividend",I1001-N(G1001),I1001+N(G1001)))))</f>
        <v/>
      </c>
      <c r="K1001" s="76">
        <f>IF(B1001="","",DATE(YEAR(B1001),MONTH(B1001),1))</f>
        <v/>
      </c>
      <c r="L1001" s="77">
        <f>IF(B1001="","",YEAR(B1001))</f>
        <v/>
      </c>
    </row>
    <row r="1002" ht="19" customHeight="1">
      <c r="A1002" s="69">
        <f>IF(B1002="","",ROW()-5)</f>
        <v/>
      </c>
      <c r="B1002" s="43" t="n"/>
      <c r="C1002" s="41" t="n"/>
      <c r="D1002" s="41" t="n"/>
      <c r="E1002" s="70" t="n"/>
      <c r="F1002" s="71" t="n"/>
      <c r="G1002" s="72" t="n"/>
      <c r="H1002" s="73" t="n"/>
      <c r="I1002" s="74">
        <f>IF(OR(E1002="",F1002=""),"",E1002*F1002)</f>
        <v/>
      </c>
      <c r="J1002" s="75">
        <f>IF(I1002="","",IF(D1002="Buy",I1002+N(G1002),IF(D1002="Sell",I1002-N(G1002),IF(D1002="Dividend",I1002-N(G1002),I1002+N(G1002)))))</f>
        <v/>
      </c>
      <c r="K1002" s="76">
        <f>IF(B1002="","",DATE(YEAR(B1002),MONTH(B1002),1))</f>
        <v/>
      </c>
      <c r="L1002" s="77">
        <f>IF(B1002="","",YEAR(B1002))</f>
        <v/>
      </c>
    </row>
    <row r="1003" ht="19" customHeight="1">
      <c r="A1003" s="69">
        <f>IF(B1003="","",ROW()-5)</f>
        <v/>
      </c>
      <c r="B1003" s="43" t="n"/>
      <c r="C1003" s="41" t="n"/>
      <c r="D1003" s="41" t="n"/>
      <c r="E1003" s="70" t="n"/>
      <c r="F1003" s="71" t="n"/>
      <c r="G1003" s="72" t="n"/>
      <c r="H1003" s="73" t="n"/>
      <c r="I1003" s="74">
        <f>IF(OR(E1003="",F1003=""),"",E1003*F1003)</f>
        <v/>
      </c>
      <c r="J1003" s="75">
        <f>IF(I1003="","",IF(D1003="Buy",I1003+N(G1003),IF(D1003="Sell",I1003-N(G1003),IF(D1003="Dividend",I1003-N(G1003),I1003+N(G1003)))))</f>
        <v/>
      </c>
      <c r="K1003" s="76">
        <f>IF(B1003="","",DATE(YEAR(B1003),MONTH(B1003),1))</f>
        <v/>
      </c>
      <c r="L1003" s="77">
        <f>IF(B1003="","",YEAR(B1003))</f>
        <v/>
      </c>
    </row>
    <row r="1004" ht="19" customHeight="1">
      <c r="A1004" s="69">
        <f>IF(B1004="","",ROW()-5)</f>
        <v/>
      </c>
      <c r="B1004" s="43" t="n"/>
      <c r="C1004" s="41" t="n"/>
      <c r="D1004" s="41" t="n"/>
      <c r="E1004" s="70" t="n"/>
      <c r="F1004" s="71" t="n"/>
      <c r="G1004" s="72" t="n"/>
      <c r="H1004" s="73" t="n"/>
      <c r="I1004" s="74">
        <f>IF(OR(E1004="",F1004=""),"",E1004*F1004)</f>
        <v/>
      </c>
      <c r="J1004" s="75">
        <f>IF(I1004="","",IF(D1004="Buy",I1004+N(G1004),IF(D1004="Sell",I1004-N(G1004),IF(D1004="Dividend",I1004-N(G1004),I1004+N(G1004)))))</f>
        <v/>
      </c>
      <c r="K1004" s="76">
        <f>IF(B1004="","",DATE(YEAR(B1004),MONTH(B1004),1))</f>
        <v/>
      </c>
      <c r="L1004" s="77">
        <f>IF(B1004="","",YEAR(B1004))</f>
        <v/>
      </c>
    </row>
    <row r="1005" ht="19" customHeight="1">
      <c r="A1005" s="69">
        <f>IF(B1005="","",ROW()-5)</f>
        <v/>
      </c>
      <c r="B1005" s="43" t="n"/>
      <c r="C1005" s="41" t="n"/>
      <c r="D1005" s="41" t="n"/>
      <c r="E1005" s="70" t="n"/>
      <c r="F1005" s="71" t="n"/>
      <c r="G1005" s="72" t="n"/>
      <c r="H1005" s="73" t="n"/>
      <c r="I1005" s="74">
        <f>IF(OR(E1005="",F1005=""),"",E1005*F1005)</f>
        <v/>
      </c>
      <c r="J1005" s="75">
        <f>IF(I1005="","",IF(D1005="Buy",I1005+N(G1005),IF(D1005="Sell",I1005-N(G1005),IF(D1005="Dividend",I1005-N(G1005),I1005+N(G1005)))))</f>
        <v/>
      </c>
      <c r="K1005" s="76">
        <f>IF(B1005="","",DATE(YEAR(B1005),MONTH(B1005),1))</f>
        <v/>
      </c>
      <c r="L1005" s="77">
        <f>IF(B1005="","",YEAR(B1005))</f>
        <v/>
      </c>
    </row>
  </sheetData>
  <autoFilter ref="A5:J1005"/>
  <mergeCells count="1">
    <mergeCell ref="G2:H2"/>
  </mergeCells>
  <conditionalFormatting sqref="D6:D1005">
    <cfRule type="cellIs" priority="1" operator="equal" dxfId="6">
      <formula>"Buy"</formula>
    </cfRule>
    <cfRule type="cellIs" priority="2" operator="equal" dxfId="7">
      <formula>"Sell"</formula>
    </cfRule>
    <cfRule type="cellIs" priority="3" operator="equal" dxfId="8">
      <formula>"Dividend"</formula>
    </cfRule>
    <cfRule type="cellIs" priority="4" operator="equal" dxfId="9">
      <formula>"Fee"</formula>
    </cfRule>
  </conditionalFormatting>
  <dataValidations count="4">
    <dataValidation sqref="C6:C1005" showDropDown="0" showInputMessage="0" showErrorMessage="0" allowBlank="1" type="list">
      <formula1>'Holdings'!$B$7:$B$46</formula1>
    </dataValidation>
    <dataValidation sqref="D6:D1005" showDropDown="0" showInputMessage="0" showErrorMessage="0" allowBlank="1" type="list">
      <formula1>'Lists'!$E$6:$E$9</formula1>
    </dataValidation>
    <dataValidation sqref="E6:G1005" showDropDown="0" showInputMessage="0" showErrorMessage="1" allowBlank="1" errorTitle="Value" error="Enter a positive number." type="decimal" operator="greaterThanOrEqual">
      <formula1>0</formula1>
    </dataValidation>
    <dataValidation sqref="B6:B1005" showDropDown="0" showInputMessage="0" showErrorMessage="1" allowBlank="1" errorTitle="Date" error="Enter a valid date." type="date" operator="greaterThan">
      <formula1>36526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S47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0" customWidth="1" min="2" max="2"/>
    <col width="28" customWidth="1" min="3" max="3"/>
    <col width="13" customWidth="1" min="4" max="4"/>
    <col width="14" customWidth="1" min="5" max="5"/>
    <col width="14" customWidth="1" min="6" max="6"/>
    <col width="11" customWidth="1" min="7" max="7"/>
    <col width="12" customWidth="1" min="8" max="8"/>
    <col width="12" customWidth="1" min="9" max="9"/>
    <col width="14" customWidth="1" min="10" max="10"/>
    <col width="14" customWidth="1" min="11" max="11"/>
    <col width="14" customWidth="1" min="12" max="12"/>
    <col width="11" customWidth="1" min="13" max="13"/>
    <col width="13" customWidth="1" min="14" max="14"/>
    <col width="13" customWidth="1" min="15" max="15"/>
    <col width="14" customWidth="1" min="16" max="16"/>
    <col width="11" customWidth="1" min="17" max="17"/>
    <col width="10" customWidth="1" min="18" max="18"/>
    <col width="2" customWidth="1" min="19" max="19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31" t="inlineStr">
        <is>
          <t>Holdings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32" t="inlineStr">
        <is>
          <t>← Accueil</t>
        </is>
      </c>
      <c r="R2" s="1" t="n"/>
      <c r="S2" s="1" t="n"/>
    </row>
    <row r="3" ht="18" customHeight="1">
      <c r="A3" s="1" t="n"/>
      <c r="B3" s="4" t="inlineStr">
        <is>
          <t>List each ticker once and enter today's price. Shares, cost, value and returns calculate themselves.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6" ht="34" customHeight="1">
      <c r="B6" s="67" t="inlineStr">
        <is>
          <t>Ticker</t>
        </is>
      </c>
      <c r="C6" s="67" t="inlineStr">
        <is>
          <t>Name</t>
        </is>
      </c>
      <c r="D6" s="67" t="inlineStr">
        <is>
          <t>Asset class</t>
        </is>
      </c>
      <c r="E6" s="67" t="inlineStr">
        <is>
          <t>Sector</t>
        </is>
      </c>
      <c r="F6" s="67" t="inlineStr">
        <is>
          <t>Account</t>
        </is>
      </c>
      <c r="G6" s="67" t="inlineStr">
        <is>
          <t>Shares</t>
        </is>
      </c>
      <c r="H6" s="67" t="inlineStr">
        <is>
          <t>Avg cost</t>
        </is>
      </c>
      <c r="I6" s="67" t="inlineStr">
        <is>
          <t>Current price</t>
        </is>
      </c>
      <c r="J6" s="67" t="inlineStr">
        <is>
          <t>Cost basis</t>
        </is>
      </c>
      <c r="K6" s="67" t="inlineStr">
        <is>
          <t>Market value</t>
        </is>
      </c>
      <c r="L6" s="67" t="inlineStr">
        <is>
          <t>Unrealized P&amp;L</t>
        </is>
      </c>
      <c r="M6" s="67" t="inlineStr">
        <is>
          <t>Unrealized %</t>
        </is>
      </c>
      <c r="N6" s="67" t="inlineStr">
        <is>
          <t>Realized P&amp;L</t>
        </is>
      </c>
      <c r="O6" s="67" t="inlineStr">
        <is>
          <t>Dividends</t>
        </is>
      </c>
      <c r="P6" s="67" t="inlineStr">
        <is>
          <t>Total return</t>
        </is>
      </c>
      <c r="Q6" s="67" t="inlineStr">
        <is>
          <t>Total return %</t>
        </is>
      </c>
      <c r="R6" s="67" t="inlineStr">
        <is>
          <t>Weight</t>
        </is>
      </c>
    </row>
    <row r="7" ht="21" customHeight="1">
      <c r="B7" s="41" t="inlineStr">
        <is>
          <t>WRLD</t>
        </is>
      </c>
      <c r="C7" s="73" t="inlineStr">
        <is>
          <t>World Equity ETF</t>
        </is>
      </c>
      <c r="D7" s="41" t="inlineStr">
        <is>
          <t>ETFs</t>
        </is>
      </c>
      <c r="E7" s="41" t="inlineStr">
        <is>
          <t>Broad market</t>
        </is>
      </c>
      <c r="F7" s="41" t="inlineStr">
        <is>
          <t>Brokerage</t>
        </is>
      </c>
      <c r="G7" s="78">
        <f>IF(B7="","",SUMIFS('Transactions'!$E$6:$E$1005,'Transactions'!$C$6:$C$1005,$B7,'Transactions'!$D$6:$D$1005,"Buy")-SUMIFS('Transactions'!$E$6:$E$1005,'Transactions'!$C$6:$C$1005,$B7,'Transactions'!$D$6:$D$1005,"Sell"))</f>
        <v/>
      </c>
      <c r="H7" s="79">
        <f>IF(B7="","",IF(SUMIFS('Transactions'!$E$6:$E$1005,'Transactions'!$C$6:$C$1005,$B7,'Transactions'!$D$6:$D$1005,"Buy")=0,0,SUMIFS('Transactions'!$J$6:$J$1005,'Transactions'!$C$6:$C$1005,$B7,'Transactions'!$D$6:$D$1005,"Buy")/SUMIFS('Transactions'!$E$6:$E$1005,'Transactions'!$C$6:$C$1005,$B7,'Transactions'!$D$6:$D$1005,"Buy")))</f>
        <v/>
      </c>
      <c r="I7" s="80" t="n">
        <v>114.14</v>
      </c>
      <c r="J7" s="74">
        <f>IF(B7="","",G7*H7)</f>
        <v/>
      </c>
      <c r="K7" s="81">
        <f>IF(OR(B7="",I7=""),"",G7*I7)</f>
        <v/>
      </c>
      <c r="L7" s="82">
        <f>IF(K7="","",K7-J7)</f>
        <v/>
      </c>
      <c r="M7" s="83">
        <f>IF(OR(K7="",J7=0),"",L7/J7)</f>
        <v/>
      </c>
      <c r="N7" s="82">
        <f>IF(B7="","",SUMIFS('Transactions'!$J$6:$J$1005,'Transactions'!$C$6:$C$1005,$B7,'Transactions'!$D$6:$D$1005,"Sell")-SUMIFS('Transactions'!$E$6:$E$1005,'Transactions'!$C$6:$C$1005,$B7,'Transactions'!$D$6:$D$1005,"Sell")*H7)</f>
        <v/>
      </c>
      <c r="O7" s="74">
        <f>IF(B7="","",SUMIFS('Transactions'!$J$6:$J$1005,'Transactions'!$C$6:$C$1005,$B7,'Transactions'!$D$6:$D$1005,"Dividend"))</f>
        <v/>
      </c>
      <c r="P7" s="84">
        <f>IF(K7="","",L7+N7+O7)</f>
        <v/>
      </c>
      <c r="Q7" s="83">
        <f>IF(OR(K7="",SUMIFS('Transactions'!$J$6:$J$1005,'Transactions'!$C$6:$C$1005,$B7,'Transactions'!$D$6:$D$1005,"Buy")=0),"",P7/SUMIFS('Transactions'!$J$6:$J$1005,'Transactions'!$C$6:$C$1005,$B7,'Transactions'!$D$6:$D$1005,"Buy"))</f>
        <v/>
      </c>
      <c r="R7" s="85">
        <f>IF(OR(K7="",SUM($K$7:$K$46)=0),"",K7/SUM($K$7:$K$46))</f>
        <v/>
      </c>
    </row>
    <row r="8" ht="21" customHeight="1">
      <c r="B8" s="41" t="inlineStr">
        <is>
          <t>USMK</t>
        </is>
      </c>
      <c r="C8" s="73" t="inlineStr">
        <is>
          <t>US Total Market ETF</t>
        </is>
      </c>
      <c r="D8" s="41" t="inlineStr">
        <is>
          <t>ETFs</t>
        </is>
      </c>
      <c r="E8" s="41" t="inlineStr">
        <is>
          <t>Broad market</t>
        </is>
      </c>
      <c r="F8" s="41" t="inlineStr">
        <is>
          <t>Brokerage</t>
        </is>
      </c>
      <c r="G8" s="78">
        <f>IF(B8="","",SUMIFS('Transactions'!$E$6:$E$1005,'Transactions'!$C$6:$C$1005,$B8,'Transactions'!$D$6:$D$1005,"Buy")-SUMIFS('Transactions'!$E$6:$E$1005,'Transactions'!$C$6:$C$1005,$B8,'Transactions'!$D$6:$D$1005,"Sell"))</f>
        <v/>
      </c>
      <c r="H8" s="79">
        <f>IF(B8="","",IF(SUMIFS('Transactions'!$E$6:$E$1005,'Transactions'!$C$6:$C$1005,$B8,'Transactions'!$D$6:$D$1005,"Buy")=0,0,SUMIFS('Transactions'!$J$6:$J$1005,'Transactions'!$C$6:$C$1005,$B8,'Transactions'!$D$6:$D$1005,"Buy")/SUMIFS('Transactions'!$E$6:$E$1005,'Transactions'!$C$6:$C$1005,$B8,'Transactions'!$D$6:$D$1005,"Buy")))</f>
        <v/>
      </c>
      <c r="I8" s="80" t="n">
        <v>142.58</v>
      </c>
      <c r="J8" s="74">
        <f>IF(B8="","",G8*H8)</f>
        <v/>
      </c>
      <c r="K8" s="81">
        <f>IF(OR(B8="",I8=""),"",G8*I8)</f>
        <v/>
      </c>
      <c r="L8" s="82">
        <f>IF(K8="","",K8-J8)</f>
        <v/>
      </c>
      <c r="M8" s="83">
        <f>IF(OR(K8="",J8=0),"",L8/J8)</f>
        <v/>
      </c>
      <c r="N8" s="82">
        <f>IF(B8="","",SUMIFS('Transactions'!$J$6:$J$1005,'Transactions'!$C$6:$C$1005,$B8,'Transactions'!$D$6:$D$1005,"Sell")-SUMIFS('Transactions'!$E$6:$E$1005,'Transactions'!$C$6:$C$1005,$B8,'Transactions'!$D$6:$D$1005,"Sell")*H8)</f>
        <v/>
      </c>
      <c r="O8" s="74">
        <f>IF(B8="","",SUMIFS('Transactions'!$J$6:$J$1005,'Transactions'!$C$6:$C$1005,$B8,'Transactions'!$D$6:$D$1005,"Dividend"))</f>
        <v/>
      </c>
      <c r="P8" s="84">
        <f>IF(K8="","",L8+N8+O8)</f>
        <v/>
      </c>
      <c r="Q8" s="83">
        <f>IF(OR(K8="",SUMIFS('Transactions'!$J$6:$J$1005,'Transactions'!$C$6:$C$1005,$B8,'Transactions'!$D$6:$D$1005,"Buy")=0),"",P8/SUMIFS('Transactions'!$J$6:$J$1005,'Transactions'!$C$6:$C$1005,$B8,'Transactions'!$D$6:$D$1005,"Buy"))</f>
        <v/>
      </c>
      <c r="R8" s="85">
        <f>IF(OR(K8="",SUM($K$7:$K$46)=0),"",K8/SUM($K$7:$K$46))</f>
        <v/>
      </c>
    </row>
    <row r="9" ht="21" customHeight="1">
      <c r="B9" s="41" t="inlineStr">
        <is>
          <t>EMKT</t>
        </is>
      </c>
      <c r="C9" s="73" t="inlineStr">
        <is>
          <t>Emerging Markets ETF</t>
        </is>
      </c>
      <c r="D9" s="41" t="inlineStr">
        <is>
          <t>ETFs</t>
        </is>
      </c>
      <c r="E9" s="41" t="inlineStr">
        <is>
          <t>Broad market</t>
        </is>
      </c>
      <c r="F9" s="41" t="inlineStr">
        <is>
          <t>Retirement</t>
        </is>
      </c>
      <c r="G9" s="78">
        <f>IF(B9="","",SUMIFS('Transactions'!$E$6:$E$1005,'Transactions'!$C$6:$C$1005,$B9,'Transactions'!$D$6:$D$1005,"Buy")-SUMIFS('Transactions'!$E$6:$E$1005,'Transactions'!$C$6:$C$1005,$B9,'Transactions'!$D$6:$D$1005,"Sell"))</f>
        <v/>
      </c>
      <c r="H9" s="79">
        <f>IF(B9="","",IF(SUMIFS('Transactions'!$E$6:$E$1005,'Transactions'!$C$6:$C$1005,$B9,'Transactions'!$D$6:$D$1005,"Buy")=0,0,SUMIFS('Transactions'!$J$6:$J$1005,'Transactions'!$C$6:$C$1005,$B9,'Transactions'!$D$6:$D$1005,"Buy")/SUMIFS('Transactions'!$E$6:$E$1005,'Transactions'!$C$6:$C$1005,$B9,'Transactions'!$D$6:$D$1005,"Buy")))</f>
        <v/>
      </c>
      <c r="I9" s="80" t="n">
        <v>61.77</v>
      </c>
      <c r="J9" s="74">
        <f>IF(B9="","",G9*H9)</f>
        <v/>
      </c>
      <c r="K9" s="81">
        <f>IF(OR(B9="",I9=""),"",G9*I9)</f>
        <v/>
      </c>
      <c r="L9" s="82">
        <f>IF(K9="","",K9-J9)</f>
        <v/>
      </c>
      <c r="M9" s="83">
        <f>IF(OR(K9="",J9=0),"",L9/J9)</f>
        <v/>
      </c>
      <c r="N9" s="82">
        <f>IF(B9="","",SUMIFS('Transactions'!$J$6:$J$1005,'Transactions'!$C$6:$C$1005,$B9,'Transactions'!$D$6:$D$1005,"Sell")-SUMIFS('Transactions'!$E$6:$E$1005,'Transactions'!$C$6:$C$1005,$B9,'Transactions'!$D$6:$D$1005,"Sell")*H9)</f>
        <v/>
      </c>
      <c r="O9" s="74">
        <f>IF(B9="","",SUMIFS('Transactions'!$J$6:$J$1005,'Transactions'!$C$6:$C$1005,$B9,'Transactions'!$D$6:$D$1005,"Dividend"))</f>
        <v/>
      </c>
      <c r="P9" s="84">
        <f>IF(K9="","",L9+N9+O9)</f>
        <v/>
      </c>
      <c r="Q9" s="83">
        <f>IF(OR(K9="",SUMIFS('Transactions'!$J$6:$J$1005,'Transactions'!$C$6:$C$1005,$B9,'Transactions'!$D$6:$D$1005,"Buy")=0),"",P9/SUMIFS('Transactions'!$J$6:$J$1005,'Transactions'!$C$6:$C$1005,$B9,'Transactions'!$D$6:$D$1005,"Buy"))</f>
        <v/>
      </c>
      <c r="R9" s="85">
        <f>IF(OR(K9="",SUM($K$7:$K$46)=0),"",K9/SUM($K$7:$K$46))</f>
        <v/>
      </c>
    </row>
    <row r="10" ht="21" customHeight="1">
      <c r="B10" s="41" t="inlineStr">
        <is>
          <t>AGGB</t>
        </is>
      </c>
      <c r="C10" s="73" t="inlineStr">
        <is>
          <t>Global Aggregate Bond ETF</t>
        </is>
      </c>
      <c r="D10" s="41" t="inlineStr">
        <is>
          <t>Bonds</t>
        </is>
      </c>
      <c r="E10" s="41" t="inlineStr">
        <is>
          <t>Broad market</t>
        </is>
      </c>
      <c r="F10" s="41" t="inlineStr">
        <is>
          <t>Retirement</t>
        </is>
      </c>
      <c r="G10" s="78">
        <f>IF(B10="","",SUMIFS('Transactions'!$E$6:$E$1005,'Transactions'!$C$6:$C$1005,$B10,'Transactions'!$D$6:$D$1005,"Buy")-SUMIFS('Transactions'!$E$6:$E$1005,'Transactions'!$C$6:$C$1005,$B10,'Transactions'!$D$6:$D$1005,"Sell"))</f>
        <v/>
      </c>
      <c r="H10" s="79">
        <f>IF(B10="","",IF(SUMIFS('Transactions'!$E$6:$E$1005,'Transactions'!$C$6:$C$1005,$B10,'Transactions'!$D$6:$D$1005,"Buy")=0,0,SUMIFS('Transactions'!$J$6:$J$1005,'Transactions'!$C$6:$C$1005,$B10,'Transactions'!$D$6:$D$1005,"Buy")/SUMIFS('Transactions'!$E$6:$E$1005,'Transactions'!$C$6:$C$1005,$B10,'Transactions'!$D$6:$D$1005,"Buy")))</f>
        <v/>
      </c>
      <c r="I10" s="80" t="n">
        <v>78.94</v>
      </c>
      <c r="J10" s="74">
        <f>IF(B10="","",G10*H10)</f>
        <v/>
      </c>
      <c r="K10" s="81">
        <f>IF(OR(B10="",I10=""),"",G10*I10)</f>
        <v/>
      </c>
      <c r="L10" s="82">
        <f>IF(K10="","",K10-J10)</f>
        <v/>
      </c>
      <c r="M10" s="83">
        <f>IF(OR(K10="",J10=0),"",L10/J10)</f>
        <v/>
      </c>
      <c r="N10" s="82">
        <f>IF(B10="","",SUMIFS('Transactions'!$J$6:$J$1005,'Transactions'!$C$6:$C$1005,$B10,'Transactions'!$D$6:$D$1005,"Sell")-SUMIFS('Transactions'!$E$6:$E$1005,'Transactions'!$C$6:$C$1005,$B10,'Transactions'!$D$6:$D$1005,"Sell")*H10)</f>
        <v/>
      </c>
      <c r="O10" s="74">
        <f>IF(B10="","",SUMIFS('Transactions'!$J$6:$J$1005,'Transactions'!$C$6:$C$1005,$B10,'Transactions'!$D$6:$D$1005,"Dividend"))</f>
        <v/>
      </c>
      <c r="P10" s="84">
        <f>IF(K10="","",L10+N10+O10)</f>
        <v/>
      </c>
      <c r="Q10" s="83">
        <f>IF(OR(K10="",SUMIFS('Transactions'!$J$6:$J$1005,'Transactions'!$C$6:$C$1005,$B10,'Transactions'!$D$6:$D$1005,"Buy")=0),"",P10/SUMIFS('Transactions'!$J$6:$J$1005,'Transactions'!$C$6:$C$1005,$B10,'Transactions'!$D$6:$D$1005,"Buy"))</f>
        <v/>
      </c>
      <c r="R10" s="85">
        <f>IF(OR(K10="",SUM($K$7:$K$46)=0),"",K10/SUM($K$7:$K$46))</f>
        <v/>
      </c>
    </row>
    <row r="11" ht="21" customHeight="1">
      <c r="B11" s="41" t="inlineStr">
        <is>
          <t>TECH</t>
        </is>
      </c>
      <c r="C11" s="73" t="inlineStr">
        <is>
          <t>Tech Leaders Inc.</t>
        </is>
      </c>
      <c r="D11" s="41" t="inlineStr">
        <is>
          <t>Stocks</t>
        </is>
      </c>
      <c r="E11" s="41" t="inlineStr">
        <is>
          <t>Technology</t>
        </is>
      </c>
      <c r="F11" s="41" t="inlineStr">
        <is>
          <t>Brokerage</t>
        </is>
      </c>
      <c r="G11" s="78">
        <f>IF(B11="","",SUMIFS('Transactions'!$E$6:$E$1005,'Transactions'!$C$6:$C$1005,$B11,'Transactions'!$D$6:$D$1005,"Buy")-SUMIFS('Transactions'!$E$6:$E$1005,'Transactions'!$C$6:$C$1005,$B11,'Transactions'!$D$6:$D$1005,"Sell"))</f>
        <v/>
      </c>
      <c r="H11" s="79">
        <f>IF(B11="","",IF(SUMIFS('Transactions'!$E$6:$E$1005,'Transactions'!$C$6:$C$1005,$B11,'Transactions'!$D$6:$D$1005,"Buy")=0,0,SUMIFS('Transactions'!$J$6:$J$1005,'Transactions'!$C$6:$C$1005,$B11,'Transactions'!$D$6:$D$1005,"Buy")/SUMIFS('Transactions'!$E$6:$E$1005,'Transactions'!$C$6:$C$1005,$B11,'Transactions'!$D$6:$D$1005,"Buy")))</f>
        <v/>
      </c>
      <c r="I11" s="80" t="n">
        <v>364.21</v>
      </c>
      <c r="J11" s="74">
        <f>IF(B11="","",G11*H11)</f>
        <v/>
      </c>
      <c r="K11" s="81">
        <f>IF(OR(B11="",I11=""),"",G11*I11)</f>
        <v/>
      </c>
      <c r="L11" s="82">
        <f>IF(K11="","",K11-J11)</f>
        <v/>
      </c>
      <c r="M11" s="83">
        <f>IF(OR(K11="",J11=0),"",L11/J11)</f>
        <v/>
      </c>
      <c r="N11" s="82">
        <f>IF(B11="","",SUMIFS('Transactions'!$J$6:$J$1005,'Transactions'!$C$6:$C$1005,$B11,'Transactions'!$D$6:$D$1005,"Sell")-SUMIFS('Transactions'!$E$6:$E$1005,'Transactions'!$C$6:$C$1005,$B11,'Transactions'!$D$6:$D$1005,"Sell")*H11)</f>
        <v/>
      </c>
      <c r="O11" s="74">
        <f>IF(B11="","",SUMIFS('Transactions'!$J$6:$J$1005,'Transactions'!$C$6:$C$1005,$B11,'Transactions'!$D$6:$D$1005,"Dividend"))</f>
        <v/>
      </c>
      <c r="P11" s="84">
        <f>IF(K11="","",L11+N11+O11)</f>
        <v/>
      </c>
      <c r="Q11" s="83">
        <f>IF(OR(K11="",SUMIFS('Transactions'!$J$6:$J$1005,'Transactions'!$C$6:$C$1005,$B11,'Transactions'!$D$6:$D$1005,"Buy")=0),"",P11/SUMIFS('Transactions'!$J$6:$J$1005,'Transactions'!$C$6:$C$1005,$B11,'Transactions'!$D$6:$D$1005,"Buy"))</f>
        <v/>
      </c>
      <c r="R11" s="85">
        <f>IF(OR(K11="",SUM($K$7:$K$46)=0),"",K11/SUM($K$7:$K$46))</f>
        <v/>
      </c>
    </row>
    <row r="12" ht="21" customHeight="1">
      <c r="B12" s="41" t="inlineStr">
        <is>
          <t>BANK</t>
        </is>
      </c>
      <c r="C12" s="73" t="inlineStr">
        <is>
          <t>Prime Financial Corp.</t>
        </is>
      </c>
      <c r="D12" s="41" t="inlineStr">
        <is>
          <t>Stocks</t>
        </is>
      </c>
      <c r="E12" s="41" t="inlineStr">
        <is>
          <t>Financials</t>
        </is>
      </c>
      <c r="F12" s="41" t="inlineStr">
        <is>
          <t>Brokerage</t>
        </is>
      </c>
      <c r="G12" s="78">
        <f>IF(B12="","",SUMIFS('Transactions'!$E$6:$E$1005,'Transactions'!$C$6:$C$1005,$B12,'Transactions'!$D$6:$D$1005,"Buy")-SUMIFS('Transactions'!$E$6:$E$1005,'Transactions'!$C$6:$C$1005,$B12,'Transactions'!$D$6:$D$1005,"Sell"))</f>
        <v/>
      </c>
      <c r="H12" s="79">
        <f>IF(B12="","",IF(SUMIFS('Transactions'!$E$6:$E$1005,'Transactions'!$C$6:$C$1005,$B12,'Transactions'!$D$6:$D$1005,"Buy")=0,0,SUMIFS('Transactions'!$J$6:$J$1005,'Transactions'!$C$6:$C$1005,$B12,'Transactions'!$D$6:$D$1005,"Buy")/SUMIFS('Transactions'!$E$6:$E$1005,'Transactions'!$C$6:$C$1005,$B12,'Transactions'!$D$6:$D$1005,"Buy")))</f>
        <v/>
      </c>
      <c r="I12" s="80" t="n">
        <v>99.89</v>
      </c>
      <c r="J12" s="74">
        <f>IF(B12="","",G12*H12)</f>
        <v/>
      </c>
      <c r="K12" s="81">
        <f>IF(OR(B12="",I12=""),"",G12*I12)</f>
        <v/>
      </c>
      <c r="L12" s="82">
        <f>IF(K12="","",K12-J12)</f>
        <v/>
      </c>
      <c r="M12" s="83">
        <f>IF(OR(K12="",J12=0),"",L12/J12)</f>
        <v/>
      </c>
      <c r="N12" s="82">
        <f>IF(B12="","",SUMIFS('Transactions'!$J$6:$J$1005,'Transactions'!$C$6:$C$1005,$B12,'Transactions'!$D$6:$D$1005,"Sell")-SUMIFS('Transactions'!$E$6:$E$1005,'Transactions'!$C$6:$C$1005,$B12,'Transactions'!$D$6:$D$1005,"Sell")*H12)</f>
        <v/>
      </c>
      <c r="O12" s="74">
        <f>IF(B12="","",SUMIFS('Transactions'!$J$6:$J$1005,'Transactions'!$C$6:$C$1005,$B12,'Transactions'!$D$6:$D$1005,"Dividend"))</f>
        <v/>
      </c>
      <c r="P12" s="84">
        <f>IF(K12="","",L12+N12+O12)</f>
        <v/>
      </c>
      <c r="Q12" s="83">
        <f>IF(OR(K12="",SUMIFS('Transactions'!$J$6:$J$1005,'Transactions'!$C$6:$C$1005,$B12,'Transactions'!$D$6:$D$1005,"Buy")=0),"",P12/SUMIFS('Transactions'!$J$6:$J$1005,'Transactions'!$C$6:$C$1005,$B12,'Transactions'!$D$6:$D$1005,"Buy"))</f>
        <v/>
      </c>
      <c r="R12" s="85">
        <f>IF(OR(K12="",SUM($K$7:$K$46)=0),"",K12/SUM($K$7:$K$46))</f>
        <v/>
      </c>
    </row>
    <row r="13" ht="21" customHeight="1">
      <c r="B13" s="41" t="inlineStr">
        <is>
          <t>HLTH</t>
        </is>
      </c>
      <c r="C13" s="73" t="inlineStr">
        <is>
          <t>Health Systems Co.</t>
        </is>
      </c>
      <c r="D13" s="41" t="inlineStr">
        <is>
          <t>Stocks</t>
        </is>
      </c>
      <c r="E13" s="41" t="inlineStr">
        <is>
          <t>Healthcare</t>
        </is>
      </c>
      <c r="F13" s="41" t="inlineStr">
        <is>
          <t>Brokerage</t>
        </is>
      </c>
      <c r="G13" s="78">
        <f>IF(B13="","",SUMIFS('Transactions'!$E$6:$E$1005,'Transactions'!$C$6:$C$1005,$B13,'Transactions'!$D$6:$D$1005,"Buy")-SUMIFS('Transactions'!$E$6:$E$1005,'Transactions'!$C$6:$C$1005,$B13,'Transactions'!$D$6:$D$1005,"Sell"))</f>
        <v/>
      </c>
      <c r="H13" s="79">
        <f>IF(B13="","",IF(SUMIFS('Transactions'!$E$6:$E$1005,'Transactions'!$C$6:$C$1005,$B13,'Transactions'!$D$6:$D$1005,"Buy")=0,0,SUMIFS('Transactions'!$J$6:$J$1005,'Transactions'!$C$6:$C$1005,$B13,'Transactions'!$D$6:$D$1005,"Buy")/SUMIFS('Transactions'!$E$6:$E$1005,'Transactions'!$C$6:$C$1005,$B13,'Transactions'!$D$6:$D$1005,"Buy")))</f>
        <v/>
      </c>
      <c r="I13" s="80" t="n">
        <v>134.1</v>
      </c>
      <c r="J13" s="74">
        <f>IF(B13="","",G13*H13)</f>
        <v/>
      </c>
      <c r="K13" s="81">
        <f>IF(OR(B13="",I13=""),"",G13*I13)</f>
        <v/>
      </c>
      <c r="L13" s="82">
        <f>IF(K13="","",K13-J13)</f>
        <v/>
      </c>
      <c r="M13" s="83">
        <f>IF(OR(K13="",J13=0),"",L13/J13)</f>
        <v/>
      </c>
      <c r="N13" s="82">
        <f>IF(B13="","",SUMIFS('Transactions'!$J$6:$J$1005,'Transactions'!$C$6:$C$1005,$B13,'Transactions'!$D$6:$D$1005,"Sell")-SUMIFS('Transactions'!$E$6:$E$1005,'Transactions'!$C$6:$C$1005,$B13,'Transactions'!$D$6:$D$1005,"Sell")*H13)</f>
        <v/>
      </c>
      <c r="O13" s="74">
        <f>IF(B13="","",SUMIFS('Transactions'!$J$6:$J$1005,'Transactions'!$C$6:$C$1005,$B13,'Transactions'!$D$6:$D$1005,"Dividend"))</f>
        <v/>
      </c>
      <c r="P13" s="84">
        <f>IF(K13="","",L13+N13+O13)</f>
        <v/>
      </c>
      <c r="Q13" s="83">
        <f>IF(OR(K13="",SUMIFS('Transactions'!$J$6:$J$1005,'Transactions'!$C$6:$C$1005,$B13,'Transactions'!$D$6:$D$1005,"Buy")=0),"",P13/SUMIFS('Transactions'!$J$6:$J$1005,'Transactions'!$C$6:$C$1005,$B13,'Transactions'!$D$6:$D$1005,"Buy"))</f>
        <v/>
      </c>
      <c r="R13" s="85">
        <f>IF(OR(K13="",SUM($K$7:$K$46)=0),"",K13/SUM($K$7:$K$46))</f>
        <v/>
      </c>
    </row>
    <row r="14" ht="21" customHeight="1">
      <c r="B14" s="41" t="inlineStr">
        <is>
          <t>ENRG</t>
        </is>
      </c>
      <c r="C14" s="73" t="inlineStr">
        <is>
          <t>Clean Energy Partners</t>
        </is>
      </c>
      <c r="D14" s="41" t="inlineStr">
        <is>
          <t>Stocks</t>
        </is>
      </c>
      <c r="E14" s="41" t="inlineStr">
        <is>
          <t>Energy</t>
        </is>
      </c>
      <c r="F14" s="41" t="inlineStr">
        <is>
          <t>Brokerage</t>
        </is>
      </c>
      <c r="G14" s="78">
        <f>IF(B14="","",SUMIFS('Transactions'!$E$6:$E$1005,'Transactions'!$C$6:$C$1005,$B14,'Transactions'!$D$6:$D$1005,"Buy")-SUMIFS('Transactions'!$E$6:$E$1005,'Transactions'!$C$6:$C$1005,$B14,'Transactions'!$D$6:$D$1005,"Sell"))</f>
        <v/>
      </c>
      <c r="H14" s="79">
        <f>IF(B14="","",IF(SUMIFS('Transactions'!$E$6:$E$1005,'Transactions'!$C$6:$C$1005,$B14,'Transactions'!$D$6:$D$1005,"Buy")=0,0,SUMIFS('Transactions'!$J$6:$J$1005,'Transactions'!$C$6:$C$1005,$B14,'Transactions'!$D$6:$D$1005,"Buy")/SUMIFS('Transactions'!$E$6:$E$1005,'Transactions'!$C$6:$C$1005,$B14,'Transactions'!$D$6:$D$1005,"Buy")))</f>
        <v/>
      </c>
      <c r="I14" s="80" t="n">
        <v>33.13</v>
      </c>
      <c r="J14" s="74">
        <f>IF(B14="","",G14*H14)</f>
        <v/>
      </c>
      <c r="K14" s="81">
        <f>IF(OR(B14="",I14=""),"",G14*I14)</f>
        <v/>
      </c>
      <c r="L14" s="82">
        <f>IF(K14="","",K14-J14)</f>
        <v/>
      </c>
      <c r="M14" s="83">
        <f>IF(OR(K14="",J14=0),"",L14/J14)</f>
        <v/>
      </c>
      <c r="N14" s="82">
        <f>IF(B14="","",SUMIFS('Transactions'!$J$6:$J$1005,'Transactions'!$C$6:$C$1005,$B14,'Transactions'!$D$6:$D$1005,"Sell")-SUMIFS('Transactions'!$E$6:$E$1005,'Transactions'!$C$6:$C$1005,$B14,'Transactions'!$D$6:$D$1005,"Sell")*H14)</f>
        <v/>
      </c>
      <c r="O14" s="74">
        <f>IF(B14="","",SUMIFS('Transactions'!$J$6:$J$1005,'Transactions'!$C$6:$C$1005,$B14,'Transactions'!$D$6:$D$1005,"Dividend"))</f>
        <v/>
      </c>
      <c r="P14" s="84">
        <f>IF(K14="","",L14+N14+O14)</f>
        <v/>
      </c>
      <c r="Q14" s="83">
        <f>IF(OR(K14="",SUMIFS('Transactions'!$J$6:$J$1005,'Transactions'!$C$6:$C$1005,$B14,'Transactions'!$D$6:$D$1005,"Buy")=0),"",P14/SUMIFS('Transactions'!$J$6:$J$1005,'Transactions'!$C$6:$C$1005,$B14,'Transactions'!$D$6:$D$1005,"Buy"))</f>
        <v/>
      </c>
      <c r="R14" s="85">
        <f>IF(OR(K14="",SUM($K$7:$K$46)=0),"",K14/SUM($K$7:$K$46))</f>
        <v/>
      </c>
    </row>
    <row r="15" ht="21" customHeight="1">
      <c r="B15" s="41" t="inlineStr">
        <is>
          <t>CONS</t>
        </is>
      </c>
      <c r="C15" s="73" t="inlineStr">
        <is>
          <t>Consumer Brands Ltd.</t>
        </is>
      </c>
      <c r="D15" s="41" t="inlineStr">
        <is>
          <t>Stocks</t>
        </is>
      </c>
      <c r="E15" s="41" t="inlineStr">
        <is>
          <t>Consumer</t>
        </is>
      </c>
      <c r="F15" s="41" t="inlineStr">
        <is>
          <t>Brokerage</t>
        </is>
      </c>
      <c r="G15" s="78">
        <f>IF(B15="","",SUMIFS('Transactions'!$E$6:$E$1005,'Transactions'!$C$6:$C$1005,$B15,'Transactions'!$D$6:$D$1005,"Buy")-SUMIFS('Transactions'!$E$6:$E$1005,'Transactions'!$C$6:$C$1005,$B15,'Transactions'!$D$6:$D$1005,"Sell"))</f>
        <v/>
      </c>
      <c r="H15" s="79">
        <f>IF(B15="","",IF(SUMIFS('Transactions'!$E$6:$E$1005,'Transactions'!$C$6:$C$1005,$B15,'Transactions'!$D$6:$D$1005,"Buy")=0,0,SUMIFS('Transactions'!$J$6:$J$1005,'Transactions'!$C$6:$C$1005,$B15,'Transactions'!$D$6:$D$1005,"Buy")/SUMIFS('Transactions'!$E$6:$E$1005,'Transactions'!$C$6:$C$1005,$B15,'Transactions'!$D$6:$D$1005,"Buy")))</f>
        <v/>
      </c>
      <c r="I15" s="80" t="n">
        <v>82.12</v>
      </c>
      <c r="J15" s="74">
        <f>IF(B15="","",G15*H15)</f>
        <v/>
      </c>
      <c r="K15" s="81">
        <f>IF(OR(B15="",I15=""),"",G15*I15)</f>
        <v/>
      </c>
      <c r="L15" s="82">
        <f>IF(K15="","",K15-J15)</f>
        <v/>
      </c>
      <c r="M15" s="83">
        <f>IF(OR(K15="",J15=0),"",L15/J15)</f>
        <v/>
      </c>
      <c r="N15" s="82">
        <f>IF(B15="","",SUMIFS('Transactions'!$J$6:$J$1005,'Transactions'!$C$6:$C$1005,$B15,'Transactions'!$D$6:$D$1005,"Sell")-SUMIFS('Transactions'!$E$6:$E$1005,'Transactions'!$C$6:$C$1005,$B15,'Transactions'!$D$6:$D$1005,"Sell")*H15)</f>
        <v/>
      </c>
      <c r="O15" s="74">
        <f>IF(B15="","",SUMIFS('Transactions'!$J$6:$J$1005,'Transactions'!$C$6:$C$1005,$B15,'Transactions'!$D$6:$D$1005,"Dividend"))</f>
        <v/>
      </c>
      <c r="P15" s="84">
        <f>IF(K15="","",L15+N15+O15)</f>
        <v/>
      </c>
      <c r="Q15" s="83">
        <f>IF(OR(K15="",SUMIFS('Transactions'!$J$6:$J$1005,'Transactions'!$C$6:$C$1005,$B15,'Transactions'!$D$6:$D$1005,"Buy")=0),"",P15/SUMIFS('Transactions'!$J$6:$J$1005,'Transactions'!$C$6:$C$1005,$B15,'Transactions'!$D$6:$D$1005,"Buy"))</f>
        <v/>
      </c>
      <c r="R15" s="85">
        <f>IF(OR(K15="",SUM($K$7:$K$46)=0),"",K15/SUM($K$7:$K$46))</f>
        <v/>
      </c>
    </row>
    <row r="16" ht="21" customHeight="1">
      <c r="B16" s="41" t="inlineStr">
        <is>
          <t>PROP</t>
        </is>
      </c>
      <c r="C16" s="73" t="inlineStr">
        <is>
          <t>Property Income Trust</t>
        </is>
      </c>
      <c r="D16" s="41" t="inlineStr">
        <is>
          <t>Real estate</t>
        </is>
      </c>
      <c r="E16" s="41" t="inlineStr">
        <is>
          <t>Real estate</t>
        </is>
      </c>
      <c r="F16" s="41" t="inlineStr">
        <is>
          <t>Brokerage</t>
        </is>
      </c>
      <c r="G16" s="78">
        <f>IF(B16="","",SUMIFS('Transactions'!$E$6:$E$1005,'Transactions'!$C$6:$C$1005,$B16,'Transactions'!$D$6:$D$1005,"Buy")-SUMIFS('Transactions'!$E$6:$E$1005,'Transactions'!$C$6:$C$1005,$B16,'Transactions'!$D$6:$D$1005,"Sell"))</f>
        <v/>
      </c>
      <c r="H16" s="79">
        <f>IF(B16="","",IF(SUMIFS('Transactions'!$E$6:$E$1005,'Transactions'!$C$6:$C$1005,$B16,'Transactions'!$D$6:$D$1005,"Buy")=0,0,SUMIFS('Transactions'!$J$6:$J$1005,'Transactions'!$C$6:$C$1005,$B16,'Transactions'!$D$6:$D$1005,"Buy")/SUMIFS('Transactions'!$E$6:$E$1005,'Transactions'!$C$6:$C$1005,$B16,'Transactions'!$D$6:$D$1005,"Buy")))</f>
        <v/>
      </c>
      <c r="I16" s="80" t="n">
        <v>26.06</v>
      </c>
      <c r="J16" s="74">
        <f>IF(B16="","",G16*H16)</f>
        <v/>
      </c>
      <c r="K16" s="81">
        <f>IF(OR(B16="",I16=""),"",G16*I16)</f>
        <v/>
      </c>
      <c r="L16" s="82">
        <f>IF(K16="","",K16-J16)</f>
        <v/>
      </c>
      <c r="M16" s="83">
        <f>IF(OR(K16="",J16=0),"",L16/J16)</f>
        <v/>
      </c>
      <c r="N16" s="82">
        <f>IF(B16="","",SUMIFS('Transactions'!$J$6:$J$1005,'Transactions'!$C$6:$C$1005,$B16,'Transactions'!$D$6:$D$1005,"Sell")-SUMIFS('Transactions'!$E$6:$E$1005,'Transactions'!$C$6:$C$1005,$B16,'Transactions'!$D$6:$D$1005,"Sell")*H16)</f>
        <v/>
      </c>
      <c r="O16" s="74">
        <f>IF(B16="","",SUMIFS('Transactions'!$J$6:$J$1005,'Transactions'!$C$6:$C$1005,$B16,'Transactions'!$D$6:$D$1005,"Dividend"))</f>
        <v/>
      </c>
      <c r="P16" s="84">
        <f>IF(K16="","",L16+N16+O16)</f>
        <v/>
      </c>
      <c r="Q16" s="83">
        <f>IF(OR(K16="",SUMIFS('Transactions'!$J$6:$J$1005,'Transactions'!$C$6:$C$1005,$B16,'Transactions'!$D$6:$D$1005,"Buy")=0),"",P16/SUMIFS('Transactions'!$J$6:$J$1005,'Transactions'!$C$6:$C$1005,$B16,'Transactions'!$D$6:$D$1005,"Buy"))</f>
        <v/>
      </c>
      <c r="R16" s="85">
        <f>IF(OR(K16="",SUM($K$7:$K$46)=0),"",K16/SUM($K$7:$K$46))</f>
        <v/>
      </c>
    </row>
    <row r="17" ht="21" customHeight="1">
      <c r="B17" s="41" t="inlineStr">
        <is>
          <t>BTC</t>
        </is>
      </c>
      <c r="C17" s="73" t="inlineStr">
        <is>
          <t>Bitcoin</t>
        </is>
      </c>
      <c r="D17" s="41" t="inlineStr">
        <is>
          <t>Crypto</t>
        </is>
      </c>
      <c r="E17" s="41" t="inlineStr">
        <is>
          <t>Other</t>
        </is>
      </c>
      <c r="F17" s="41" t="inlineStr">
        <is>
          <t>Crypto wallet</t>
        </is>
      </c>
      <c r="G17" s="78">
        <f>IF(B17="","",SUMIFS('Transactions'!$E$6:$E$1005,'Transactions'!$C$6:$C$1005,$B17,'Transactions'!$D$6:$D$1005,"Buy")-SUMIFS('Transactions'!$E$6:$E$1005,'Transactions'!$C$6:$C$1005,$B17,'Transactions'!$D$6:$D$1005,"Sell"))</f>
        <v/>
      </c>
      <c r="H17" s="79">
        <f>IF(B17="","",IF(SUMIFS('Transactions'!$E$6:$E$1005,'Transactions'!$C$6:$C$1005,$B17,'Transactions'!$D$6:$D$1005,"Buy")=0,0,SUMIFS('Transactions'!$J$6:$J$1005,'Transactions'!$C$6:$C$1005,$B17,'Transactions'!$D$6:$D$1005,"Buy")/SUMIFS('Transactions'!$E$6:$E$1005,'Transactions'!$C$6:$C$1005,$B17,'Transactions'!$D$6:$D$1005,"Buy")))</f>
        <v/>
      </c>
      <c r="I17" s="80" t="n">
        <v>69208.63</v>
      </c>
      <c r="J17" s="74">
        <f>IF(B17="","",G17*H17)</f>
        <v/>
      </c>
      <c r="K17" s="81">
        <f>IF(OR(B17="",I17=""),"",G17*I17)</f>
        <v/>
      </c>
      <c r="L17" s="82">
        <f>IF(K17="","",K17-J17)</f>
        <v/>
      </c>
      <c r="M17" s="83">
        <f>IF(OR(K17="",J17=0),"",L17/J17)</f>
        <v/>
      </c>
      <c r="N17" s="82">
        <f>IF(B17="","",SUMIFS('Transactions'!$J$6:$J$1005,'Transactions'!$C$6:$C$1005,$B17,'Transactions'!$D$6:$D$1005,"Sell")-SUMIFS('Transactions'!$E$6:$E$1005,'Transactions'!$C$6:$C$1005,$B17,'Transactions'!$D$6:$D$1005,"Sell")*H17)</f>
        <v/>
      </c>
      <c r="O17" s="74">
        <f>IF(B17="","",SUMIFS('Transactions'!$J$6:$J$1005,'Transactions'!$C$6:$C$1005,$B17,'Transactions'!$D$6:$D$1005,"Dividend"))</f>
        <v/>
      </c>
      <c r="P17" s="84">
        <f>IF(K17="","",L17+N17+O17)</f>
        <v/>
      </c>
      <c r="Q17" s="83">
        <f>IF(OR(K17="",SUMIFS('Transactions'!$J$6:$J$1005,'Transactions'!$C$6:$C$1005,$B17,'Transactions'!$D$6:$D$1005,"Buy")=0),"",P17/SUMIFS('Transactions'!$J$6:$J$1005,'Transactions'!$C$6:$C$1005,$B17,'Transactions'!$D$6:$D$1005,"Buy"))</f>
        <v/>
      </c>
      <c r="R17" s="85">
        <f>IF(OR(K17="",SUM($K$7:$K$46)=0),"",K17/SUM($K$7:$K$46))</f>
        <v/>
      </c>
    </row>
    <row r="18" ht="21" customHeight="1">
      <c r="B18" s="41" t="inlineStr">
        <is>
          <t>GLDX</t>
        </is>
      </c>
      <c r="C18" s="73" t="inlineStr">
        <is>
          <t>Gold Trust</t>
        </is>
      </c>
      <c r="D18" s="41" t="inlineStr">
        <is>
          <t>Commodities</t>
        </is>
      </c>
      <c r="E18" s="41" t="inlineStr">
        <is>
          <t>Materials</t>
        </is>
      </c>
      <c r="F18" s="41" t="inlineStr">
        <is>
          <t>Brokerage</t>
        </is>
      </c>
      <c r="G18" s="78">
        <f>IF(B18="","",SUMIFS('Transactions'!$E$6:$E$1005,'Transactions'!$C$6:$C$1005,$B18,'Transactions'!$D$6:$D$1005,"Buy")-SUMIFS('Transactions'!$E$6:$E$1005,'Transactions'!$C$6:$C$1005,$B18,'Transactions'!$D$6:$D$1005,"Sell"))</f>
        <v/>
      </c>
      <c r="H18" s="79">
        <f>IF(B18="","",IF(SUMIFS('Transactions'!$E$6:$E$1005,'Transactions'!$C$6:$C$1005,$B18,'Transactions'!$D$6:$D$1005,"Buy")=0,0,SUMIFS('Transactions'!$J$6:$J$1005,'Transactions'!$C$6:$C$1005,$B18,'Transactions'!$D$6:$D$1005,"Buy")/SUMIFS('Transactions'!$E$6:$E$1005,'Transactions'!$C$6:$C$1005,$B18,'Transactions'!$D$6:$D$1005,"Buy")))</f>
        <v/>
      </c>
      <c r="I18" s="80" t="n">
        <v>173.19</v>
      </c>
      <c r="J18" s="74">
        <f>IF(B18="","",G18*H18)</f>
        <v/>
      </c>
      <c r="K18" s="81">
        <f>IF(OR(B18="",I18=""),"",G18*I18)</f>
        <v/>
      </c>
      <c r="L18" s="82">
        <f>IF(K18="","",K18-J18)</f>
        <v/>
      </c>
      <c r="M18" s="83">
        <f>IF(OR(K18="",J18=0),"",L18/J18)</f>
        <v/>
      </c>
      <c r="N18" s="82">
        <f>IF(B18="","",SUMIFS('Transactions'!$J$6:$J$1005,'Transactions'!$C$6:$C$1005,$B18,'Transactions'!$D$6:$D$1005,"Sell")-SUMIFS('Transactions'!$E$6:$E$1005,'Transactions'!$C$6:$C$1005,$B18,'Transactions'!$D$6:$D$1005,"Sell")*H18)</f>
        <v/>
      </c>
      <c r="O18" s="74">
        <f>IF(B18="","",SUMIFS('Transactions'!$J$6:$J$1005,'Transactions'!$C$6:$C$1005,$B18,'Transactions'!$D$6:$D$1005,"Dividend"))</f>
        <v/>
      </c>
      <c r="P18" s="84">
        <f>IF(K18="","",L18+N18+O18)</f>
        <v/>
      </c>
      <c r="Q18" s="83">
        <f>IF(OR(K18="",SUMIFS('Transactions'!$J$6:$J$1005,'Transactions'!$C$6:$C$1005,$B18,'Transactions'!$D$6:$D$1005,"Buy")=0),"",P18/SUMIFS('Transactions'!$J$6:$J$1005,'Transactions'!$C$6:$C$1005,$B18,'Transactions'!$D$6:$D$1005,"Buy"))</f>
        <v/>
      </c>
      <c r="R18" s="85">
        <f>IF(OR(K18="",SUM($K$7:$K$46)=0),"",K18/SUM($K$7:$K$46))</f>
        <v/>
      </c>
    </row>
    <row r="19" ht="21" customHeight="1">
      <c r="B19" s="41" t="n"/>
      <c r="C19" s="73" t="n"/>
      <c r="D19" s="41" t="n"/>
      <c r="E19" s="41" t="n"/>
      <c r="F19" s="41" t="n"/>
      <c r="G19" s="78">
        <f>IF(B19="","",SUMIFS('Transactions'!$E$6:$E$1005,'Transactions'!$C$6:$C$1005,$B19,'Transactions'!$D$6:$D$1005,"Buy")-SUMIFS('Transactions'!$E$6:$E$1005,'Transactions'!$C$6:$C$1005,$B19,'Transactions'!$D$6:$D$1005,"Sell"))</f>
        <v/>
      </c>
      <c r="H19" s="79">
        <f>IF(B19="","",IF(SUMIFS('Transactions'!$E$6:$E$1005,'Transactions'!$C$6:$C$1005,$B19,'Transactions'!$D$6:$D$1005,"Buy")=0,0,SUMIFS('Transactions'!$J$6:$J$1005,'Transactions'!$C$6:$C$1005,$B19,'Transactions'!$D$6:$D$1005,"Buy")/SUMIFS('Transactions'!$E$6:$E$1005,'Transactions'!$C$6:$C$1005,$B19,'Transactions'!$D$6:$D$1005,"Buy")))</f>
        <v/>
      </c>
      <c r="I19" s="80" t="n"/>
      <c r="J19" s="74">
        <f>IF(B19="","",G19*H19)</f>
        <v/>
      </c>
      <c r="K19" s="81">
        <f>IF(OR(B19="",I19=""),"",G19*I19)</f>
        <v/>
      </c>
      <c r="L19" s="82">
        <f>IF(K19="","",K19-J19)</f>
        <v/>
      </c>
      <c r="M19" s="83">
        <f>IF(OR(K19="",J19=0),"",L19/J19)</f>
        <v/>
      </c>
      <c r="N19" s="82">
        <f>IF(B19="","",SUMIFS('Transactions'!$J$6:$J$1005,'Transactions'!$C$6:$C$1005,$B19,'Transactions'!$D$6:$D$1005,"Sell")-SUMIFS('Transactions'!$E$6:$E$1005,'Transactions'!$C$6:$C$1005,$B19,'Transactions'!$D$6:$D$1005,"Sell")*H19)</f>
        <v/>
      </c>
      <c r="O19" s="74">
        <f>IF(B19="","",SUMIFS('Transactions'!$J$6:$J$1005,'Transactions'!$C$6:$C$1005,$B19,'Transactions'!$D$6:$D$1005,"Dividend"))</f>
        <v/>
      </c>
      <c r="P19" s="84">
        <f>IF(K19="","",L19+N19+O19)</f>
        <v/>
      </c>
      <c r="Q19" s="83">
        <f>IF(OR(K19="",SUMIFS('Transactions'!$J$6:$J$1005,'Transactions'!$C$6:$C$1005,$B19,'Transactions'!$D$6:$D$1005,"Buy")=0),"",P19/SUMIFS('Transactions'!$J$6:$J$1005,'Transactions'!$C$6:$C$1005,$B19,'Transactions'!$D$6:$D$1005,"Buy"))</f>
        <v/>
      </c>
      <c r="R19" s="85">
        <f>IF(OR(K19="",SUM($K$7:$K$46)=0),"",K19/SUM($K$7:$K$46))</f>
        <v/>
      </c>
    </row>
    <row r="20" ht="21" customHeight="1">
      <c r="B20" s="41" t="n"/>
      <c r="C20" s="73" t="n"/>
      <c r="D20" s="41" t="n"/>
      <c r="E20" s="41" t="n"/>
      <c r="F20" s="41" t="n"/>
      <c r="G20" s="78">
        <f>IF(B20="","",SUMIFS('Transactions'!$E$6:$E$1005,'Transactions'!$C$6:$C$1005,$B20,'Transactions'!$D$6:$D$1005,"Buy")-SUMIFS('Transactions'!$E$6:$E$1005,'Transactions'!$C$6:$C$1005,$B20,'Transactions'!$D$6:$D$1005,"Sell"))</f>
        <v/>
      </c>
      <c r="H20" s="79">
        <f>IF(B20="","",IF(SUMIFS('Transactions'!$E$6:$E$1005,'Transactions'!$C$6:$C$1005,$B20,'Transactions'!$D$6:$D$1005,"Buy")=0,0,SUMIFS('Transactions'!$J$6:$J$1005,'Transactions'!$C$6:$C$1005,$B20,'Transactions'!$D$6:$D$1005,"Buy")/SUMIFS('Transactions'!$E$6:$E$1005,'Transactions'!$C$6:$C$1005,$B20,'Transactions'!$D$6:$D$1005,"Buy")))</f>
        <v/>
      </c>
      <c r="I20" s="80" t="n"/>
      <c r="J20" s="74">
        <f>IF(B20="","",G20*H20)</f>
        <v/>
      </c>
      <c r="K20" s="81">
        <f>IF(OR(B20="",I20=""),"",G20*I20)</f>
        <v/>
      </c>
      <c r="L20" s="82">
        <f>IF(K20="","",K20-J20)</f>
        <v/>
      </c>
      <c r="M20" s="83">
        <f>IF(OR(K20="",J20=0),"",L20/J20)</f>
        <v/>
      </c>
      <c r="N20" s="82">
        <f>IF(B20="","",SUMIFS('Transactions'!$J$6:$J$1005,'Transactions'!$C$6:$C$1005,$B20,'Transactions'!$D$6:$D$1005,"Sell")-SUMIFS('Transactions'!$E$6:$E$1005,'Transactions'!$C$6:$C$1005,$B20,'Transactions'!$D$6:$D$1005,"Sell")*H20)</f>
        <v/>
      </c>
      <c r="O20" s="74">
        <f>IF(B20="","",SUMIFS('Transactions'!$J$6:$J$1005,'Transactions'!$C$6:$C$1005,$B20,'Transactions'!$D$6:$D$1005,"Dividend"))</f>
        <v/>
      </c>
      <c r="P20" s="84">
        <f>IF(K20="","",L20+N20+O20)</f>
        <v/>
      </c>
      <c r="Q20" s="83">
        <f>IF(OR(K20="",SUMIFS('Transactions'!$J$6:$J$1005,'Transactions'!$C$6:$C$1005,$B20,'Transactions'!$D$6:$D$1005,"Buy")=0),"",P20/SUMIFS('Transactions'!$J$6:$J$1005,'Transactions'!$C$6:$C$1005,$B20,'Transactions'!$D$6:$D$1005,"Buy"))</f>
        <v/>
      </c>
      <c r="R20" s="85">
        <f>IF(OR(K20="",SUM($K$7:$K$46)=0),"",K20/SUM($K$7:$K$46))</f>
        <v/>
      </c>
    </row>
    <row r="21" ht="21" customHeight="1">
      <c r="B21" s="41" t="n"/>
      <c r="C21" s="73" t="n"/>
      <c r="D21" s="41" t="n"/>
      <c r="E21" s="41" t="n"/>
      <c r="F21" s="41" t="n"/>
      <c r="G21" s="78">
        <f>IF(B21="","",SUMIFS('Transactions'!$E$6:$E$1005,'Transactions'!$C$6:$C$1005,$B21,'Transactions'!$D$6:$D$1005,"Buy")-SUMIFS('Transactions'!$E$6:$E$1005,'Transactions'!$C$6:$C$1005,$B21,'Transactions'!$D$6:$D$1005,"Sell"))</f>
        <v/>
      </c>
      <c r="H21" s="79">
        <f>IF(B21="","",IF(SUMIFS('Transactions'!$E$6:$E$1005,'Transactions'!$C$6:$C$1005,$B21,'Transactions'!$D$6:$D$1005,"Buy")=0,0,SUMIFS('Transactions'!$J$6:$J$1005,'Transactions'!$C$6:$C$1005,$B21,'Transactions'!$D$6:$D$1005,"Buy")/SUMIFS('Transactions'!$E$6:$E$1005,'Transactions'!$C$6:$C$1005,$B21,'Transactions'!$D$6:$D$1005,"Buy")))</f>
        <v/>
      </c>
      <c r="I21" s="80" t="n"/>
      <c r="J21" s="74">
        <f>IF(B21="","",G21*H21)</f>
        <v/>
      </c>
      <c r="K21" s="81">
        <f>IF(OR(B21="",I21=""),"",G21*I21)</f>
        <v/>
      </c>
      <c r="L21" s="82">
        <f>IF(K21="","",K21-J21)</f>
        <v/>
      </c>
      <c r="M21" s="83">
        <f>IF(OR(K21="",J21=0),"",L21/J21)</f>
        <v/>
      </c>
      <c r="N21" s="82">
        <f>IF(B21="","",SUMIFS('Transactions'!$J$6:$J$1005,'Transactions'!$C$6:$C$1005,$B21,'Transactions'!$D$6:$D$1005,"Sell")-SUMIFS('Transactions'!$E$6:$E$1005,'Transactions'!$C$6:$C$1005,$B21,'Transactions'!$D$6:$D$1005,"Sell")*H21)</f>
        <v/>
      </c>
      <c r="O21" s="74">
        <f>IF(B21="","",SUMIFS('Transactions'!$J$6:$J$1005,'Transactions'!$C$6:$C$1005,$B21,'Transactions'!$D$6:$D$1005,"Dividend"))</f>
        <v/>
      </c>
      <c r="P21" s="84">
        <f>IF(K21="","",L21+N21+O21)</f>
        <v/>
      </c>
      <c r="Q21" s="83">
        <f>IF(OR(K21="",SUMIFS('Transactions'!$J$6:$J$1005,'Transactions'!$C$6:$C$1005,$B21,'Transactions'!$D$6:$D$1005,"Buy")=0),"",P21/SUMIFS('Transactions'!$J$6:$J$1005,'Transactions'!$C$6:$C$1005,$B21,'Transactions'!$D$6:$D$1005,"Buy"))</f>
        <v/>
      </c>
      <c r="R21" s="85">
        <f>IF(OR(K21="",SUM($K$7:$K$46)=0),"",K21/SUM($K$7:$K$46))</f>
        <v/>
      </c>
    </row>
    <row r="22" ht="21" customHeight="1">
      <c r="B22" s="41" t="n"/>
      <c r="C22" s="73" t="n"/>
      <c r="D22" s="41" t="n"/>
      <c r="E22" s="41" t="n"/>
      <c r="F22" s="41" t="n"/>
      <c r="G22" s="78">
        <f>IF(B22="","",SUMIFS('Transactions'!$E$6:$E$1005,'Transactions'!$C$6:$C$1005,$B22,'Transactions'!$D$6:$D$1005,"Buy")-SUMIFS('Transactions'!$E$6:$E$1005,'Transactions'!$C$6:$C$1005,$B22,'Transactions'!$D$6:$D$1005,"Sell"))</f>
        <v/>
      </c>
      <c r="H22" s="79">
        <f>IF(B22="","",IF(SUMIFS('Transactions'!$E$6:$E$1005,'Transactions'!$C$6:$C$1005,$B22,'Transactions'!$D$6:$D$1005,"Buy")=0,0,SUMIFS('Transactions'!$J$6:$J$1005,'Transactions'!$C$6:$C$1005,$B22,'Transactions'!$D$6:$D$1005,"Buy")/SUMIFS('Transactions'!$E$6:$E$1005,'Transactions'!$C$6:$C$1005,$B22,'Transactions'!$D$6:$D$1005,"Buy")))</f>
        <v/>
      </c>
      <c r="I22" s="80" t="n"/>
      <c r="J22" s="74">
        <f>IF(B22="","",G22*H22)</f>
        <v/>
      </c>
      <c r="K22" s="81">
        <f>IF(OR(B22="",I22=""),"",G22*I22)</f>
        <v/>
      </c>
      <c r="L22" s="82">
        <f>IF(K22="","",K22-J22)</f>
        <v/>
      </c>
      <c r="M22" s="83">
        <f>IF(OR(K22="",J22=0),"",L22/J22)</f>
        <v/>
      </c>
      <c r="N22" s="82">
        <f>IF(B22="","",SUMIFS('Transactions'!$J$6:$J$1005,'Transactions'!$C$6:$C$1005,$B22,'Transactions'!$D$6:$D$1005,"Sell")-SUMIFS('Transactions'!$E$6:$E$1005,'Transactions'!$C$6:$C$1005,$B22,'Transactions'!$D$6:$D$1005,"Sell")*H22)</f>
        <v/>
      </c>
      <c r="O22" s="74">
        <f>IF(B22="","",SUMIFS('Transactions'!$J$6:$J$1005,'Transactions'!$C$6:$C$1005,$B22,'Transactions'!$D$6:$D$1005,"Dividend"))</f>
        <v/>
      </c>
      <c r="P22" s="84">
        <f>IF(K22="","",L22+N22+O22)</f>
        <v/>
      </c>
      <c r="Q22" s="83">
        <f>IF(OR(K22="",SUMIFS('Transactions'!$J$6:$J$1005,'Transactions'!$C$6:$C$1005,$B22,'Transactions'!$D$6:$D$1005,"Buy")=0),"",P22/SUMIFS('Transactions'!$J$6:$J$1005,'Transactions'!$C$6:$C$1005,$B22,'Transactions'!$D$6:$D$1005,"Buy"))</f>
        <v/>
      </c>
      <c r="R22" s="85">
        <f>IF(OR(K22="",SUM($K$7:$K$46)=0),"",K22/SUM($K$7:$K$46))</f>
        <v/>
      </c>
    </row>
    <row r="23" ht="21" customHeight="1">
      <c r="B23" s="41" t="n"/>
      <c r="C23" s="73" t="n"/>
      <c r="D23" s="41" t="n"/>
      <c r="E23" s="41" t="n"/>
      <c r="F23" s="41" t="n"/>
      <c r="G23" s="78">
        <f>IF(B23="","",SUMIFS('Transactions'!$E$6:$E$1005,'Transactions'!$C$6:$C$1005,$B23,'Transactions'!$D$6:$D$1005,"Buy")-SUMIFS('Transactions'!$E$6:$E$1005,'Transactions'!$C$6:$C$1005,$B23,'Transactions'!$D$6:$D$1005,"Sell"))</f>
        <v/>
      </c>
      <c r="H23" s="79">
        <f>IF(B23="","",IF(SUMIFS('Transactions'!$E$6:$E$1005,'Transactions'!$C$6:$C$1005,$B23,'Transactions'!$D$6:$D$1005,"Buy")=0,0,SUMIFS('Transactions'!$J$6:$J$1005,'Transactions'!$C$6:$C$1005,$B23,'Transactions'!$D$6:$D$1005,"Buy")/SUMIFS('Transactions'!$E$6:$E$1005,'Transactions'!$C$6:$C$1005,$B23,'Transactions'!$D$6:$D$1005,"Buy")))</f>
        <v/>
      </c>
      <c r="I23" s="80" t="n"/>
      <c r="J23" s="74">
        <f>IF(B23="","",G23*H23)</f>
        <v/>
      </c>
      <c r="K23" s="81">
        <f>IF(OR(B23="",I23=""),"",G23*I23)</f>
        <v/>
      </c>
      <c r="L23" s="82">
        <f>IF(K23="","",K23-J23)</f>
        <v/>
      </c>
      <c r="M23" s="83">
        <f>IF(OR(K23="",J23=0),"",L23/J23)</f>
        <v/>
      </c>
      <c r="N23" s="82">
        <f>IF(B23="","",SUMIFS('Transactions'!$J$6:$J$1005,'Transactions'!$C$6:$C$1005,$B23,'Transactions'!$D$6:$D$1005,"Sell")-SUMIFS('Transactions'!$E$6:$E$1005,'Transactions'!$C$6:$C$1005,$B23,'Transactions'!$D$6:$D$1005,"Sell")*H23)</f>
        <v/>
      </c>
      <c r="O23" s="74">
        <f>IF(B23="","",SUMIFS('Transactions'!$J$6:$J$1005,'Transactions'!$C$6:$C$1005,$B23,'Transactions'!$D$6:$D$1005,"Dividend"))</f>
        <v/>
      </c>
      <c r="P23" s="84">
        <f>IF(K23="","",L23+N23+O23)</f>
        <v/>
      </c>
      <c r="Q23" s="83">
        <f>IF(OR(K23="",SUMIFS('Transactions'!$J$6:$J$1005,'Transactions'!$C$6:$C$1005,$B23,'Transactions'!$D$6:$D$1005,"Buy")=0),"",P23/SUMIFS('Transactions'!$J$6:$J$1005,'Transactions'!$C$6:$C$1005,$B23,'Transactions'!$D$6:$D$1005,"Buy"))</f>
        <v/>
      </c>
      <c r="R23" s="85">
        <f>IF(OR(K23="",SUM($K$7:$K$46)=0),"",K23/SUM($K$7:$K$46))</f>
        <v/>
      </c>
    </row>
    <row r="24" ht="21" customHeight="1">
      <c r="B24" s="41" t="n"/>
      <c r="C24" s="73" t="n"/>
      <c r="D24" s="41" t="n"/>
      <c r="E24" s="41" t="n"/>
      <c r="F24" s="41" t="n"/>
      <c r="G24" s="78">
        <f>IF(B24="","",SUMIFS('Transactions'!$E$6:$E$1005,'Transactions'!$C$6:$C$1005,$B24,'Transactions'!$D$6:$D$1005,"Buy")-SUMIFS('Transactions'!$E$6:$E$1005,'Transactions'!$C$6:$C$1005,$B24,'Transactions'!$D$6:$D$1005,"Sell"))</f>
        <v/>
      </c>
      <c r="H24" s="79">
        <f>IF(B24="","",IF(SUMIFS('Transactions'!$E$6:$E$1005,'Transactions'!$C$6:$C$1005,$B24,'Transactions'!$D$6:$D$1005,"Buy")=0,0,SUMIFS('Transactions'!$J$6:$J$1005,'Transactions'!$C$6:$C$1005,$B24,'Transactions'!$D$6:$D$1005,"Buy")/SUMIFS('Transactions'!$E$6:$E$1005,'Transactions'!$C$6:$C$1005,$B24,'Transactions'!$D$6:$D$1005,"Buy")))</f>
        <v/>
      </c>
      <c r="I24" s="80" t="n"/>
      <c r="J24" s="74">
        <f>IF(B24="","",G24*H24)</f>
        <v/>
      </c>
      <c r="K24" s="81">
        <f>IF(OR(B24="",I24=""),"",G24*I24)</f>
        <v/>
      </c>
      <c r="L24" s="82">
        <f>IF(K24="","",K24-J24)</f>
        <v/>
      </c>
      <c r="M24" s="83">
        <f>IF(OR(K24="",J24=0),"",L24/J24)</f>
        <v/>
      </c>
      <c r="N24" s="82">
        <f>IF(B24="","",SUMIFS('Transactions'!$J$6:$J$1005,'Transactions'!$C$6:$C$1005,$B24,'Transactions'!$D$6:$D$1005,"Sell")-SUMIFS('Transactions'!$E$6:$E$1005,'Transactions'!$C$6:$C$1005,$B24,'Transactions'!$D$6:$D$1005,"Sell")*H24)</f>
        <v/>
      </c>
      <c r="O24" s="74">
        <f>IF(B24="","",SUMIFS('Transactions'!$J$6:$J$1005,'Transactions'!$C$6:$C$1005,$B24,'Transactions'!$D$6:$D$1005,"Dividend"))</f>
        <v/>
      </c>
      <c r="P24" s="84">
        <f>IF(K24="","",L24+N24+O24)</f>
        <v/>
      </c>
      <c r="Q24" s="83">
        <f>IF(OR(K24="",SUMIFS('Transactions'!$J$6:$J$1005,'Transactions'!$C$6:$C$1005,$B24,'Transactions'!$D$6:$D$1005,"Buy")=0),"",P24/SUMIFS('Transactions'!$J$6:$J$1005,'Transactions'!$C$6:$C$1005,$B24,'Transactions'!$D$6:$D$1005,"Buy"))</f>
        <v/>
      </c>
      <c r="R24" s="85">
        <f>IF(OR(K24="",SUM($K$7:$K$46)=0),"",K24/SUM($K$7:$K$46))</f>
        <v/>
      </c>
    </row>
    <row r="25" ht="21" customHeight="1">
      <c r="B25" s="41" t="n"/>
      <c r="C25" s="73" t="n"/>
      <c r="D25" s="41" t="n"/>
      <c r="E25" s="41" t="n"/>
      <c r="F25" s="41" t="n"/>
      <c r="G25" s="78">
        <f>IF(B25="","",SUMIFS('Transactions'!$E$6:$E$1005,'Transactions'!$C$6:$C$1005,$B25,'Transactions'!$D$6:$D$1005,"Buy")-SUMIFS('Transactions'!$E$6:$E$1005,'Transactions'!$C$6:$C$1005,$B25,'Transactions'!$D$6:$D$1005,"Sell"))</f>
        <v/>
      </c>
      <c r="H25" s="79">
        <f>IF(B25="","",IF(SUMIFS('Transactions'!$E$6:$E$1005,'Transactions'!$C$6:$C$1005,$B25,'Transactions'!$D$6:$D$1005,"Buy")=0,0,SUMIFS('Transactions'!$J$6:$J$1005,'Transactions'!$C$6:$C$1005,$B25,'Transactions'!$D$6:$D$1005,"Buy")/SUMIFS('Transactions'!$E$6:$E$1005,'Transactions'!$C$6:$C$1005,$B25,'Transactions'!$D$6:$D$1005,"Buy")))</f>
        <v/>
      </c>
      <c r="I25" s="80" t="n"/>
      <c r="J25" s="74">
        <f>IF(B25="","",G25*H25)</f>
        <v/>
      </c>
      <c r="K25" s="81">
        <f>IF(OR(B25="",I25=""),"",G25*I25)</f>
        <v/>
      </c>
      <c r="L25" s="82">
        <f>IF(K25="","",K25-J25)</f>
        <v/>
      </c>
      <c r="M25" s="83">
        <f>IF(OR(K25="",J25=0),"",L25/J25)</f>
        <v/>
      </c>
      <c r="N25" s="82">
        <f>IF(B25="","",SUMIFS('Transactions'!$J$6:$J$1005,'Transactions'!$C$6:$C$1005,$B25,'Transactions'!$D$6:$D$1005,"Sell")-SUMIFS('Transactions'!$E$6:$E$1005,'Transactions'!$C$6:$C$1005,$B25,'Transactions'!$D$6:$D$1005,"Sell")*H25)</f>
        <v/>
      </c>
      <c r="O25" s="74">
        <f>IF(B25="","",SUMIFS('Transactions'!$J$6:$J$1005,'Transactions'!$C$6:$C$1005,$B25,'Transactions'!$D$6:$D$1005,"Dividend"))</f>
        <v/>
      </c>
      <c r="P25" s="84">
        <f>IF(K25="","",L25+N25+O25)</f>
        <v/>
      </c>
      <c r="Q25" s="83">
        <f>IF(OR(K25="",SUMIFS('Transactions'!$J$6:$J$1005,'Transactions'!$C$6:$C$1005,$B25,'Transactions'!$D$6:$D$1005,"Buy")=0),"",P25/SUMIFS('Transactions'!$J$6:$J$1005,'Transactions'!$C$6:$C$1005,$B25,'Transactions'!$D$6:$D$1005,"Buy"))</f>
        <v/>
      </c>
      <c r="R25" s="85">
        <f>IF(OR(K25="",SUM($K$7:$K$46)=0),"",K25/SUM($K$7:$K$46))</f>
        <v/>
      </c>
    </row>
    <row r="26" ht="21" customHeight="1">
      <c r="B26" s="41" t="n"/>
      <c r="C26" s="73" t="n"/>
      <c r="D26" s="41" t="n"/>
      <c r="E26" s="41" t="n"/>
      <c r="F26" s="41" t="n"/>
      <c r="G26" s="78">
        <f>IF(B26="","",SUMIFS('Transactions'!$E$6:$E$1005,'Transactions'!$C$6:$C$1005,$B26,'Transactions'!$D$6:$D$1005,"Buy")-SUMIFS('Transactions'!$E$6:$E$1005,'Transactions'!$C$6:$C$1005,$B26,'Transactions'!$D$6:$D$1005,"Sell"))</f>
        <v/>
      </c>
      <c r="H26" s="79">
        <f>IF(B26="","",IF(SUMIFS('Transactions'!$E$6:$E$1005,'Transactions'!$C$6:$C$1005,$B26,'Transactions'!$D$6:$D$1005,"Buy")=0,0,SUMIFS('Transactions'!$J$6:$J$1005,'Transactions'!$C$6:$C$1005,$B26,'Transactions'!$D$6:$D$1005,"Buy")/SUMIFS('Transactions'!$E$6:$E$1005,'Transactions'!$C$6:$C$1005,$B26,'Transactions'!$D$6:$D$1005,"Buy")))</f>
        <v/>
      </c>
      <c r="I26" s="80" t="n"/>
      <c r="J26" s="74">
        <f>IF(B26="","",G26*H26)</f>
        <v/>
      </c>
      <c r="K26" s="81">
        <f>IF(OR(B26="",I26=""),"",G26*I26)</f>
        <v/>
      </c>
      <c r="L26" s="82">
        <f>IF(K26="","",K26-J26)</f>
        <v/>
      </c>
      <c r="M26" s="83">
        <f>IF(OR(K26="",J26=0),"",L26/J26)</f>
        <v/>
      </c>
      <c r="N26" s="82">
        <f>IF(B26="","",SUMIFS('Transactions'!$J$6:$J$1005,'Transactions'!$C$6:$C$1005,$B26,'Transactions'!$D$6:$D$1005,"Sell")-SUMIFS('Transactions'!$E$6:$E$1005,'Transactions'!$C$6:$C$1005,$B26,'Transactions'!$D$6:$D$1005,"Sell")*H26)</f>
        <v/>
      </c>
      <c r="O26" s="74">
        <f>IF(B26="","",SUMIFS('Transactions'!$J$6:$J$1005,'Transactions'!$C$6:$C$1005,$B26,'Transactions'!$D$6:$D$1005,"Dividend"))</f>
        <v/>
      </c>
      <c r="P26" s="84">
        <f>IF(K26="","",L26+N26+O26)</f>
        <v/>
      </c>
      <c r="Q26" s="83">
        <f>IF(OR(K26="",SUMIFS('Transactions'!$J$6:$J$1005,'Transactions'!$C$6:$C$1005,$B26,'Transactions'!$D$6:$D$1005,"Buy")=0),"",P26/SUMIFS('Transactions'!$J$6:$J$1005,'Transactions'!$C$6:$C$1005,$B26,'Transactions'!$D$6:$D$1005,"Buy"))</f>
        <v/>
      </c>
      <c r="R26" s="85">
        <f>IF(OR(K26="",SUM($K$7:$K$46)=0),"",K26/SUM($K$7:$K$46))</f>
        <v/>
      </c>
    </row>
    <row r="27" ht="21" customHeight="1">
      <c r="B27" s="41" t="n"/>
      <c r="C27" s="73" t="n"/>
      <c r="D27" s="41" t="n"/>
      <c r="E27" s="41" t="n"/>
      <c r="F27" s="41" t="n"/>
      <c r="G27" s="78">
        <f>IF(B27="","",SUMIFS('Transactions'!$E$6:$E$1005,'Transactions'!$C$6:$C$1005,$B27,'Transactions'!$D$6:$D$1005,"Buy")-SUMIFS('Transactions'!$E$6:$E$1005,'Transactions'!$C$6:$C$1005,$B27,'Transactions'!$D$6:$D$1005,"Sell"))</f>
        <v/>
      </c>
      <c r="H27" s="79">
        <f>IF(B27="","",IF(SUMIFS('Transactions'!$E$6:$E$1005,'Transactions'!$C$6:$C$1005,$B27,'Transactions'!$D$6:$D$1005,"Buy")=0,0,SUMIFS('Transactions'!$J$6:$J$1005,'Transactions'!$C$6:$C$1005,$B27,'Transactions'!$D$6:$D$1005,"Buy")/SUMIFS('Transactions'!$E$6:$E$1005,'Transactions'!$C$6:$C$1005,$B27,'Transactions'!$D$6:$D$1005,"Buy")))</f>
        <v/>
      </c>
      <c r="I27" s="80" t="n"/>
      <c r="J27" s="74">
        <f>IF(B27="","",G27*H27)</f>
        <v/>
      </c>
      <c r="K27" s="81">
        <f>IF(OR(B27="",I27=""),"",G27*I27)</f>
        <v/>
      </c>
      <c r="L27" s="82">
        <f>IF(K27="","",K27-J27)</f>
        <v/>
      </c>
      <c r="M27" s="83">
        <f>IF(OR(K27="",J27=0),"",L27/J27)</f>
        <v/>
      </c>
      <c r="N27" s="82">
        <f>IF(B27="","",SUMIFS('Transactions'!$J$6:$J$1005,'Transactions'!$C$6:$C$1005,$B27,'Transactions'!$D$6:$D$1005,"Sell")-SUMIFS('Transactions'!$E$6:$E$1005,'Transactions'!$C$6:$C$1005,$B27,'Transactions'!$D$6:$D$1005,"Sell")*H27)</f>
        <v/>
      </c>
      <c r="O27" s="74">
        <f>IF(B27="","",SUMIFS('Transactions'!$J$6:$J$1005,'Transactions'!$C$6:$C$1005,$B27,'Transactions'!$D$6:$D$1005,"Dividend"))</f>
        <v/>
      </c>
      <c r="P27" s="84">
        <f>IF(K27="","",L27+N27+O27)</f>
        <v/>
      </c>
      <c r="Q27" s="83">
        <f>IF(OR(K27="",SUMIFS('Transactions'!$J$6:$J$1005,'Transactions'!$C$6:$C$1005,$B27,'Transactions'!$D$6:$D$1005,"Buy")=0),"",P27/SUMIFS('Transactions'!$J$6:$J$1005,'Transactions'!$C$6:$C$1005,$B27,'Transactions'!$D$6:$D$1005,"Buy"))</f>
        <v/>
      </c>
      <c r="R27" s="85">
        <f>IF(OR(K27="",SUM($K$7:$K$46)=0),"",K27/SUM($K$7:$K$46))</f>
        <v/>
      </c>
    </row>
    <row r="28" ht="21" customHeight="1">
      <c r="B28" s="41" t="n"/>
      <c r="C28" s="73" t="n"/>
      <c r="D28" s="41" t="n"/>
      <c r="E28" s="41" t="n"/>
      <c r="F28" s="41" t="n"/>
      <c r="G28" s="78">
        <f>IF(B28="","",SUMIFS('Transactions'!$E$6:$E$1005,'Transactions'!$C$6:$C$1005,$B28,'Transactions'!$D$6:$D$1005,"Buy")-SUMIFS('Transactions'!$E$6:$E$1005,'Transactions'!$C$6:$C$1005,$B28,'Transactions'!$D$6:$D$1005,"Sell"))</f>
        <v/>
      </c>
      <c r="H28" s="79">
        <f>IF(B28="","",IF(SUMIFS('Transactions'!$E$6:$E$1005,'Transactions'!$C$6:$C$1005,$B28,'Transactions'!$D$6:$D$1005,"Buy")=0,0,SUMIFS('Transactions'!$J$6:$J$1005,'Transactions'!$C$6:$C$1005,$B28,'Transactions'!$D$6:$D$1005,"Buy")/SUMIFS('Transactions'!$E$6:$E$1005,'Transactions'!$C$6:$C$1005,$B28,'Transactions'!$D$6:$D$1005,"Buy")))</f>
        <v/>
      </c>
      <c r="I28" s="80" t="n"/>
      <c r="J28" s="74">
        <f>IF(B28="","",G28*H28)</f>
        <v/>
      </c>
      <c r="K28" s="81">
        <f>IF(OR(B28="",I28=""),"",G28*I28)</f>
        <v/>
      </c>
      <c r="L28" s="82">
        <f>IF(K28="","",K28-J28)</f>
        <v/>
      </c>
      <c r="M28" s="83">
        <f>IF(OR(K28="",J28=0),"",L28/J28)</f>
        <v/>
      </c>
      <c r="N28" s="82">
        <f>IF(B28="","",SUMIFS('Transactions'!$J$6:$J$1005,'Transactions'!$C$6:$C$1005,$B28,'Transactions'!$D$6:$D$1005,"Sell")-SUMIFS('Transactions'!$E$6:$E$1005,'Transactions'!$C$6:$C$1005,$B28,'Transactions'!$D$6:$D$1005,"Sell")*H28)</f>
        <v/>
      </c>
      <c r="O28" s="74">
        <f>IF(B28="","",SUMIFS('Transactions'!$J$6:$J$1005,'Transactions'!$C$6:$C$1005,$B28,'Transactions'!$D$6:$D$1005,"Dividend"))</f>
        <v/>
      </c>
      <c r="P28" s="84">
        <f>IF(K28="","",L28+N28+O28)</f>
        <v/>
      </c>
      <c r="Q28" s="83">
        <f>IF(OR(K28="",SUMIFS('Transactions'!$J$6:$J$1005,'Transactions'!$C$6:$C$1005,$B28,'Transactions'!$D$6:$D$1005,"Buy")=0),"",P28/SUMIFS('Transactions'!$J$6:$J$1005,'Transactions'!$C$6:$C$1005,$B28,'Transactions'!$D$6:$D$1005,"Buy"))</f>
        <v/>
      </c>
      <c r="R28" s="85">
        <f>IF(OR(K28="",SUM($K$7:$K$46)=0),"",K28/SUM($K$7:$K$46))</f>
        <v/>
      </c>
    </row>
    <row r="29" ht="21" customHeight="1">
      <c r="B29" s="41" t="n"/>
      <c r="C29" s="73" t="n"/>
      <c r="D29" s="41" t="n"/>
      <c r="E29" s="41" t="n"/>
      <c r="F29" s="41" t="n"/>
      <c r="G29" s="78">
        <f>IF(B29="","",SUMIFS('Transactions'!$E$6:$E$1005,'Transactions'!$C$6:$C$1005,$B29,'Transactions'!$D$6:$D$1005,"Buy")-SUMIFS('Transactions'!$E$6:$E$1005,'Transactions'!$C$6:$C$1005,$B29,'Transactions'!$D$6:$D$1005,"Sell"))</f>
        <v/>
      </c>
      <c r="H29" s="79">
        <f>IF(B29="","",IF(SUMIFS('Transactions'!$E$6:$E$1005,'Transactions'!$C$6:$C$1005,$B29,'Transactions'!$D$6:$D$1005,"Buy")=0,0,SUMIFS('Transactions'!$J$6:$J$1005,'Transactions'!$C$6:$C$1005,$B29,'Transactions'!$D$6:$D$1005,"Buy")/SUMIFS('Transactions'!$E$6:$E$1005,'Transactions'!$C$6:$C$1005,$B29,'Transactions'!$D$6:$D$1005,"Buy")))</f>
        <v/>
      </c>
      <c r="I29" s="80" t="n"/>
      <c r="J29" s="74">
        <f>IF(B29="","",G29*H29)</f>
        <v/>
      </c>
      <c r="K29" s="81">
        <f>IF(OR(B29="",I29=""),"",G29*I29)</f>
        <v/>
      </c>
      <c r="L29" s="82">
        <f>IF(K29="","",K29-J29)</f>
        <v/>
      </c>
      <c r="M29" s="83">
        <f>IF(OR(K29="",J29=0),"",L29/J29)</f>
        <v/>
      </c>
      <c r="N29" s="82">
        <f>IF(B29="","",SUMIFS('Transactions'!$J$6:$J$1005,'Transactions'!$C$6:$C$1005,$B29,'Transactions'!$D$6:$D$1005,"Sell")-SUMIFS('Transactions'!$E$6:$E$1005,'Transactions'!$C$6:$C$1005,$B29,'Transactions'!$D$6:$D$1005,"Sell")*H29)</f>
        <v/>
      </c>
      <c r="O29" s="74">
        <f>IF(B29="","",SUMIFS('Transactions'!$J$6:$J$1005,'Transactions'!$C$6:$C$1005,$B29,'Transactions'!$D$6:$D$1005,"Dividend"))</f>
        <v/>
      </c>
      <c r="P29" s="84">
        <f>IF(K29="","",L29+N29+O29)</f>
        <v/>
      </c>
      <c r="Q29" s="83">
        <f>IF(OR(K29="",SUMIFS('Transactions'!$J$6:$J$1005,'Transactions'!$C$6:$C$1005,$B29,'Transactions'!$D$6:$D$1005,"Buy")=0),"",P29/SUMIFS('Transactions'!$J$6:$J$1005,'Transactions'!$C$6:$C$1005,$B29,'Transactions'!$D$6:$D$1005,"Buy"))</f>
        <v/>
      </c>
      <c r="R29" s="85">
        <f>IF(OR(K29="",SUM($K$7:$K$46)=0),"",K29/SUM($K$7:$K$46))</f>
        <v/>
      </c>
    </row>
    <row r="30" ht="21" customHeight="1">
      <c r="B30" s="41" t="n"/>
      <c r="C30" s="73" t="n"/>
      <c r="D30" s="41" t="n"/>
      <c r="E30" s="41" t="n"/>
      <c r="F30" s="41" t="n"/>
      <c r="G30" s="78">
        <f>IF(B30="","",SUMIFS('Transactions'!$E$6:$E$1005,'Transactions'!$C$6:$C$1005,$B30,'Transactions'!$D$6:$D$1005,"Buy")-SUMIFS('Transactions'!$E$6:$E$1005,'Transactions'!$C$6:$C$1005,$B30,'Transactions'!$D$6:$D$1005,"Sell"))</f>
        <v/>
      </c>
      <c r="H30" s="79">
        <f>IF(B30="","",IF(SUMIFS('Transactions'!$E$6:$E$1005,'Transactions'!$C$6:$C$1005,$B30,'Transactions'!$D$6:$D$1005,"Buy")=0,0,SUMIFS('Transactions'!$J$6:$J$1005,'Transactions'!$C$6:$C$1005,$B30,'Transactions'!$D$6:$D$1005,"Buy")/SUMIFS('Transactions'!$E$6:$E$1005,'Transactions'!$C$6:$C$1005,$B30,'Transactions'!$D$6:$D$1005,"Buy")))</f>
        <v/>
      </c>
      <c r="I30" s="80" t="n"/>
      <c r="J30" s="74">
        <f>IF(B30="","",G30*H30)</f>
        <v/>
      </c>
      <c r="K30" s="81">
        <f>IF(OR(B30="",I30=""),"",G30*I30)</f>
        <v/>
      </c>
      <c r="L30" s="82">
        <f>IF(K30="","",K30-J30)</f>
        <v/>
      </c>
      <c r="M30" s="83">
        <f>IF(OR(K30="",J30=0),"",L30/J30)</f>
        <v/>
      </c>
      <c r="N30" s="82">
        <f>IF(B30="","",SUMIFS('Transactions'!$J$6:$J$1005,'Transactions'!$C$6:$C$1005,$B30,'Transactions'!$D$6:$D$1005,"Sell")-SUMIFS('Transactions'!$E$6:$E$1005,'Transactions'!$C$6:$C$1005,$B30,'Transactions'!$D$6:$D$1005,"Sell")*H30)</f>
        <v/>
      </c>
      <c r="O30" s="74">
        <f>IF(B30="","",SUMIFS('Transactions'!$J$6:$J$1005,'Transactions'!$C$6:$C$1005,$B30,'Transactions'!$D$6:$D$1005,"Dividend"))</f>
        <v/>
      </c>
      <c r="P30" s="84">
        <f>IF(K30="","",L30+N30+O30)</f>
        <v/>
      </c>
      <c r="Q30" s="83">
        <f>IF(OR(K30="",SUMIFS('Transactions'!$J$6:$J$1005,'Transactions'!$C$6:$C$1005,$B30,'Transactions'!$D$6:$D$1005,"Buy")=0),"",P30/SUMIFS('Transactions'!$J$6:$J$1005,'Transactions'!$C$6:$C$1005,$B30,'Transactions'!$D$6:$D$1005,"Buy"))</f>
        <v/>
      </c>
      <c r="R30" s="85">
        <f>IF(OR(K30="",SUM($K$7:$K$46)=0),"",K30/SUM($K$7:$K$46))</f>
        <v/>
      </c>
    </row>
    <row r="31" ht="21" customHeight="1">
      <c r="B31" s="41" t="n"/>
      <c r="C31" s="73" t="n"/>
      <c r="D31" s="41" t="n"/>
      <c r="E31" s="41" t="n"/>
      <c r="F31" s="41" t="n"/>
      <c r="G31" s="78">
        <f>IF(B31="","",SUMIFS('Transactions'!$E$6:$E$1005,'Transactions'!$C$6:$C$1005,$B31,'Transactions'!$D$6:$D$1005,"Buy")-SUMIFS('Transactions'!$E$6:$E$1005,'Transactions'!$C$6:$C$1005,$B31,'Transactions'!$D$6:$D$1005,"Sell"))</f>
        <v/>
      </c>
      <c r="H31" s="79">
        <f>IF(B31="","",IF(SUMIFS('Transactions'!$E$6:$E$1005,'Transactions'!$C$6:$C$1005,$B31,'Transactions'!$D$6:$D$1005,"Buy")=0,0,SUMIFS('Transactions'!$J$6:$J$1005,'Transactions'!$C$6:$C$1005,$B31,'Transactions'!$D$6:$D$1005,"Buy")/SUMIFS('Transactions'!$E$6:$E$1005,'Transactions'!$C$6:$C$1005,$B31,'Transactions'!$D$6:$D$1005,"Buy")))</f>
        <v/>
      </c>
      <c r="I31" s="80" t="n"/>
      <c r="J31" s="74">
        <f>IF(B31="","",G31*H31)</f>
        <v/>
      </c>
      <c r="K31" s="81">
        <f>IF(OR(B31="",I31=""),"",G31*I31)</f>
        <v/>
      </c>
      <c r="L31" s="82">
        <f>IF(K31="","",K31-J31)</f>
        <v/>
      </c>
      <c r="M31" s="83">
        <f>IF(OR(K31="",J31=0),"",L31/J31)</f>
        <v/>
      </c>
      <c r="N31" s="82">
        <f>IF(B31="","",SUMIFS('Transactions'!$J$6:$J$1005,'Transactions'!$C$6:$C$1005,$B31,'Transactions'!$D$6:$D$1005,"Sell")-SUMIFS('Transactions'!$E$6:$E$1005,'Transactions'!$C$6:$C$1005,$B31,'Transactions'!$D$6:$D$1005,"Sell")*H31)</f>
        <v/>
      </c>
      <c r="O31" s="74">
        <f>IF(B31="","",SUMIFS('Transactions'!$J$6:$J$1005,'Transactions'!$C$6:$C$1005,$B31,'Transactions'!$D$6:$D$1005,"Dividend"))</f>
        <v/>
      </c>
      <c r="P31" s="84">
        <f>IF(K31="","",L31+N31+O31)</f>
        <v/>
      </c>
      <c r="Q31" s="83">
        <f>IF(OR(K31="",SUMIFS('Transactions'!$J$6:$J$1005,'Transactions'!$C$6:$C$1005,$B31,'Transactions'!$D$6:$D$1005,"Buy")=0),"",P31/SUMIFS('Transactions'!$J$6:$J$1005,'Transactions'!$C$6:$C$1005,$B31,'Transactions'!$D$6:$D$1005,"Buy"))</f>
        <v/>
      </c>
      <c r="R31" s="85">
        <f>IF(OR(K31="",SUM($K$7:$K$46)=0),"",K31/SUM($K$7:$K$46))</f>
        <v/>
      </c>
    </row>
    <row r="32" ht="21" customHeight="1">
      <c r="B32" s="41" t="n"/>
      <c r="C32" s="73" t="n"/>
      <c r="D32" s="41" t="n"/>
      <c r="E32" s="41" t="n"/>
      <c r="F32" s="41" t="n"/>
      <c r="G32" s="78">
        <f>IF(B32="","",SUMIFS('Transactions'!$E$6:$E$1005,'Transactions'!$C$6:$C$1005,$B32,'Transactions'!$D$6:$D$1005,"Buy")-SUMIFS('Transactions'!$E$6:$E$1005,'Transactions'!$C$6:$C$1005,$B32,'Transactions'!$D$6:$D$1005,"Sell"))</f>
        <v/>
      </c>
      <c r="H32" s="79">
        <f>IF(B32="","",IF(SUMIFS('Transactions'!$E$6:$E$1005,'Transactions'!$C$6:$C$1005,$B32,'Transactions'!$D$6:$D$1005,"Buy")=0,0,SUMIFS('Transactions'!$J$6:$J$1005,'Transactions'!$C$6:$C$1005,$B32,'Transactions'!$D$6:$D$1005,"Buy")/SUMIFS('Transactions'!$E$6:$E$1005,'Transactions'!$C$6:$C$1005,$B32,'Transactions'!$D$6:$D$1005,"Buy")))</f>
        <v/>
      </c>
      <c r="I32" s="80" t="n"/>
      <c r="J32" s="74">
        <f>IF(B32="","",G32*H32)</f>
        <v/>
      </c>
      <c r="K32" s="81">
        <f>IF(OR(B32="",I32=""),"",G32*I32)</f>
        <v/>
      </c>
      <c r="L32" s="82">
        <f>IF(K32="","",K32-J32)</f>
        <v/>
      </c>
      <c r="M32" s="83">
        <f>IF(OR(K32="",J32=0),"",L32/J32)</f>
        <v/>
      </c>
      <c r="N32" s="82">
        <f>IF(B32="","",SUMIFS('Transactions'!$J$6:$J$1005,'Transactions'!$C$6:$C$1005,$B32,'Transactions'!$D$6:$D$1005,"Sell")-SUMIFS('Transactions'!$E$6:$E$1005,'Transactions'!$C$6:$C$1005,$B32,'Transactions'!$D$6:$D$1005,"Sell")*H32)</f>
        <v/>
      </c>
      <c r="O32" s="74">
        <f>IF(B32="","",SUMIFS('Transactions'!$J$6:$J$1005,'Transactions'!$C$6:$C$1005,$B32,'Transactions'!$D$6:$D$1005,"Dividend"))</f>
        <v/>
      </c>
      <c r="P32" s="84">
        <f>IF(K32="","",L32+N32+O32)</f>
        <v/>
      </c>
      <c r="Q32" s="83">
        <f>IF(OR(K32="",SUMIFS('Transactions'!$J$6:$J$1005,'Transactions'!$C$6:$C$1005,$B32,'Transactions'!$D$6:$D$1005,"Buy")=0),"",P32/SUMIFS('Transactions'!$J$6:$J$1005,'Transactions'!$C$6:$C$1005,$B32,'Transactions'!$D$6:$D$1005,"Buy"))</f>
        <v/>
      </c>
      <c r="R32" s="85">
        <f>IF(OR(K32="",SUM($K$7:$K$46)=0),"",K32/SUM($K$7:$K$46))</f>
        <v/>
      </c>
    </row>
    <row r="33" ht="21" customHeight="1">
      <c r="B33" s="41" t="n"/>
      <c r="C33" s="73" t="n"/>
      <c r="D33" s="41" t="n"/>
      <c r="E33" s="41" t="n"/>
      <c r="F33" s="41" t="n"/>
      <c r="G33" s="78">
        <f>IF(B33="","",SUMIFS('Transactions'!$E$6:$E$1005,'Transactions'!$C$6:$C$1005,$B33,'Transactions'!$D$6:$D$1005,"Buy")-SUMIFS('Transactions'!$E$6:$E$1005,'Transactions'!$C$6:$C$1005,$B33,'Transactions'!$D$6:$D$1005,"Sell"))</f>
        <v/>
      </c>
      <c r="H33" s="79">
        <f>IF(B33="","",IF(SUMIFS('Transactions'!$E$6:$E$1005,'Transactions'!$C$6:$C$1005,$B33,'Transactions'!$D$6:$D$1005,"Buy")=0,0,SUMIFS('Transactions'!$J$6:$J$1005,'Transactions'!$C$6:$C$1005,$B33,'Transactions'!$D$6:$D$1005,"Buy")/SUMIFS('Transactions'!$E$6:$E$1005,'Transactions'!$C$6:$C$1005,$B33,'Transactions'!$D$6:$D$1005,"Buy")))</f>
        <v/>
      </c>
      <c r="I33" s="80" t="n"/>
      <c r="J33" s="74">
        <f>IF(B33="","",G33*H33)</f>
        <v/>
      </c>
      <c r="K33" s="81">
        <f>IF(OR(B33="",I33=""),"",G33*I33)</f>
        <v/>
      </c>
      <c r="L33" s="82">
        <f>IF(K33="","",K33-J33)</f>
        <v/>
      </c>
      <c r="M33" s="83">
        <f>IF(OR(K33="",J33=0),"",L33/J33)</f>
        <v/>
      </c>
      <c r="N33" s="82">
        <f>IF(B33="","",SUMIFS('Transactions'!$J$6:$J$1005,'Transactions'!$C$6:$C$1005,$B33,'Transactions'!$D$6:$D$1005,"Sell")-SUMIFS('Transactions'!$E$6:$E$1005,'Transactions'!$C$6:$C$1005,$B33,'Transactions'!$D$6:$D$1005,"Sell")*H33)</f>
        <v/>
      </c>
      <c r="O33" s="74">
        <f>IF(B33="","",SUMIFS('Transactions'!$J$6:$J$1005,'Transactions'!$C$6:$C$1005,$B33,'Transactions'!$D$6:$D$1005,"Dividend"))</f>
        <v/>
      </c>
      <c r="P33" s="84">
        <f>IF(K33="","",L33+N33+O33)</f>
        <v/>
      </c>
      <c r="Q33" s="83">
        <f>IF(OR(K33="",SUMIFS('Transactions'!$J$6:$J$1005,'Transactions'!$C$6:$C$1005,$B33,'Transactions'!$D$6:$D$1005,"Buy")=0),"",P33/SUMIFS('Transactions'!$J$6:$J$1005,'Transactions'!$C$6:$C$1005,$B33,'Transactions'!$D$6:$D$1005,"Buy"))</f>
        <v/>
      </c>
      <c r="R33" s="85">
        <f>IF(OR(K33="",SUM($K$7:$K$46)=0),"",K33/SUM($K$7:$K$46))</f>
        <v/>
      </c>
    </row>
    <row r="34" ht="21" customHeight="1">
      <c r="B34" s="41" t="n"/>
      <c r="C34" s="73" t="n"/>
      <c r="D34" s="41" t="n"/>
      <c r="E34" s="41" t="n"/>
      <c r="F34" s="41" t="n"/>
      <c r="G34" s="78">
        <f>IF(B34="","",SUMIFS('Transactions'!$E$6:$E$1005,'Transactions'!$C$6:$C$1005,$B34,'Transactions'!$D$6:$D$1005,"Buy")-SUMIFS('Transactions'!$E$6:$E$1005,'Transactions'!$C$6:$C$1005,$B34,'Transactions'!$D$6:$D$1005,"Sell"))</f>
        <v/>
      </c>
      <c r="H34" s="79">
        <f>IF(B34="","",IF(SUMIFS('Transactions'!$E$6:$E$1005,'Transactions'!$C$6:$C$1005,$B34,'Transactions'!$D$6:$D$1005,"Buy")=0,0,SUMIFS('Transactions'!$J$6:$J$1005,'Transactions'!$C$6:$C$1005,$B34,'Transactions'!$D$6:$D$1005,"Buy")/SUMIFS('Transactions'!$E$6:$E$1005,'Transactions'!$C$6:$C$1005,$B34,'Transactions'!$D$6:$D$1005,"Buy")))</f>
        <v/>
      </c>
      <c r="I34" s="80" t="n"/>
      <c r="J34" s="74">
        <f>IF(B34="","",G34*H34)</f>
        <v/>
      </c>
      <c r="K34" s="81">
        <f>IF(OR(B34="",I34=""),"",G34*I34)</f>
        <v/>
      </c>
      <c r="L34" s="82">
        <f>IF(K34="","",K34-J34)</f>
        <v/>
      </c>
      <c r="M34" s="83">
        <f>IF(OR(K34="",J34=0),"",L34/J34)</f>
        <v/>
      </c>
      <c r="N34" s="82">
        <f>IF(B34="","",SUMIFS('Transactions'!$J$6:$J$1005,'Transactions'!$C$6:$C$1005,$B34,'Transactions'!$D$6:$D$1005,"Sell")-SUMIFS('Transactions'!$E$6:$E$1005,'Transactions'!$C$6:$C$1005,$B34,'Transactions'!$D$6:$D$1005,"Sell")*H34)</f>
        <v/>
      </c>
      <c r="O34" s="74">
        <f>IF(B34="","",SUMIFS('Transactions'!$J$6:$J$1005,'Transactions'!$C$6:$C$1005,$B34,'Transactions'!$D$6:$D$1005,"Dividend"))</f>
        <v/>
      </c>
      <c r="P34" s="84">
        <f>IF(K34="","",L34+N34+O34)</f>
        <v/>
      </c>
      <c r="Q34" s="83">
        <f>IF(OR(K34="",SUMIFS('Transactions'!$J$6:$J$1005,'Transactions'!$C$6:$C$1005,$B34,'Transactions'!$D$6:$D$1005,"Buy")=0),"",P34/SUMIFS('Transactions'!$J$6:$J$1005,'Transactions'!$C$6:$C$1005,$B34,'Transactions'!$D$6:$D$1005,"Buy"))</f>
        <v/>
      </c>
      <c r="R34" s="85">
        <f>IF(OR(K34="",SUM($K$7:$K$46)=0),"",K34/SUM($K$7:$K$46))</f>
        <v/>
      </c>
    </row>
    <row r="35" ht="21" customHeight="1">
      <c r="B35" s="41" t="n"/>
      <c r="C35" s="73" t="n"/>
      <c r="D35" s="41" t="n"/>
      <c r="E35" s="41" t="n"/>
      <c r="F35" s="41" t="n"/>
      <c r="G35" s="78">
        <f>IF(B35="","",SUMIFS('Transactions'!$E$6:$E$1005,'Transactions'!$C$6:$C$1005,$B35,'Transactions'!$D$6:$D$1005,"Buy")-SUMIFS('Transactions'!$E$6:$E$1005,'Transactions'!$C$6:$C$1005,$B35,'Transactions'!$D$6:$D$1005,"Sell"))</f>
        <v/>
      </c>
      <c r="H35" s="79">
        <f>IF(B35="","",IF(SUMIFS('Transactions'!$E$6:$E$1005,'Transactions'!$C$6:$C$1005,$B35,'Transactions'!$D$6:$D$1005,"Buy")=0,0,SUMIFS('Transactions'!$J$6:$J$1005,'Transactions'!$C$6:$C$1005,$B35,'Transactions'!$D$6:$D$1005,"Buy")/SUMIFS('Transactions'!$E$6:$E$1005,'Transactions'!$C$6:$C$1005,$B35,'Transactions'!$D$6:$D$1005,"Buy")))</f>
        <v/>
      </c>
      <c r="I35" s="80" t="n"/>
      <c r="J35" s="74">
        <f>IF(B35="","",G35*H35)</f>
        <v/>
      </c>
      <c r="K35" s="81">
        <f>IF(OR(B35="",I35=""),"",G35*I35)</f>
        <v/>
      </c>
      <c r="L35" s="82">
        <f>IF(K35="","",K35-J35)</f>
        <v/>
      </c>
      <c r="M35" s="83">
        <f>IF(OR(K35="",J35=0),"",L35/J35)</f>
        <v/>
      </c>
      <c r="N35" s="82">
        <f>IF(B35="","",SUMIFS('Transactions'!$J$6:$J$1005,'Transactions'!$C$6:$C$1005,$B35,'Transactions'!$D$6:$D$1005,"Sell")-SUMIFS('Transactions'!$E$6:$E$1005,'Transactions'!$C$6:$C$1005,$B35,'Transactions'!$D$6:$D$1005,"Sell")*H35)</f>
        <v/>
      </c>
      <c r="O35" s="74">
        <f>IF(B35="","",SUMIFS('Transactions'!$J$6:$J$1005,'Transactions'!$C$6:$C$1005,$B35,'Transactions'!$D$6:$D$1005,"Dividend"))</f>
        <v/>
      </c>
      <c r="P35" s="84">
        <f>IF(K35="","",L35+N35+O35)</f>
        <v/>
      </c>
      <c r="Q35" s="83">
        <f>IF(OR(K35="",SUMIFS('Transactions'!$J$6:$J$1005,'Transactions'!$C$6:$C$1005,$B35,'Transactions'!$D$6:$D$1005,"Buy")=0),"",P35/SUMIFS('Transactions'!$J$6:$J$1005,'Transactions'!$C$6:$C$1005,$B35,'Transactions'!$D$6:$D$1005,"Buy"))</f>
        <v/>
      </c>
      <c r="R35" s="85">
        <f>IF(OR(K35="",SUM($K$7:$K$46)=0),"",K35/SUM($K$7:$K$46))</f>
        <v/>
      </c>
    </row>
    <row r="36" ht="21" customHeight="1">
      <c r="B36" s="41" t="n"/>
      <c r="C36" s="73" t="n"/>
      <c r="D36" s="41" t="n"/>
      <c r="E36" s="41" t="n"/>
      <c r="F36" s="41" t="n"/>
      <c r="G36" s="78">
        <f>IF(B36="","",SUMIFS('Transactions'!$E$6:$E$1005,'Transactions'!$C$6:$C$1005,$B36,'Transactions'!$D$6:$D$1005,"Buy")-SUMIFS('Transactions'!$E$6:$E$1005,'Transactions'!$C$6:$C$1005,$B36,'Transactions'!$D$6:$D$1005,"Sell"))</f>
        <v/>
      </c>
      <c r="H36" s="79">
        <f>IF(B36="","",IF(SUMIFS('Transactions'!$E$6:$E$1005,'Transactions'!$C$6:$C$1005,$B36,'Transactions'!$D$6:$D$1005,"Buy")=0,0,SUMIFS('Transactions'!$J$6:$J$1005,'Transactions'!$C$6:$C$1005,$B36,'Transactions'!$D$6:$D$1005,"Buy")/SUMIFS('Transactions'!$E$6:$E$1005,'Transactions'!$C$6:$C$1005,$B36,'Transactions'!$D$6:$D$1005,"Buy")))</f>
        <v/>
      </c>
      <c r="I36" s="80" t="n"/>
      <c r="J36" s="74">
        <f>IF(B36="","",G36*H36)</f>
        <v/>
      </c>
      <c r="K36" s="81">
        <f>IF(OR(B36="",I36=""),"",G36*I36)</f>
        <v/>
      </c>
      <c r="L36" s="82">
        <f>IF(K36="","",K36-J36)</f>
        <v/>
      </c>
      <c r="M36" s="83">
        <f>IF(OR(K36="",J36=0),"",L36/J36)</f>
        <v/>
      </c>
      <c r="N36" s="82">
        <f>IF(B36="","",SUMIFS('Transactions'!$J$6:$J$1005,'Transactions'!$C$6:$C$1005,$B36,'Transactions'!$D$6:$D$1005,"Sell")-SUMIFS('Transactions'!$E$6:$E$1005,'Transactions'!$C$6:$C$1005,$B36,'Transactions'!$D$6:$D$1005,"Sell")*H36)</f>
        <v/>
      </c>
      <c r="O36" s="74">
        <f>IF(B36="","",SUMIFS('Transactions'!$J$6:$J$1005,'Transactions'!$C$6:$C$1005,$B36,'Transactions'!$D$6:$D$1005,"Dividend"))</f>
        <v/>
      </c>
      <c r="P36" s="84">
        <f>IF(K36="","",L36+N36+O36)</f>
        <v/>
      </c>
      <c r="Q36" s="83">
        <f>IF(OR(K36="",SUMIFS('Transactions'!$J$6:$J$1005,'Transactions'!$C$6:$C$1005,$B36,'Transactions'!$D$6:$D$1005,"Buy")=0),"",P36/SUMIFS('Transactions'!$J$6:$J$1005,'Transactions'!$C$6:$C$1005,$B36,'Transactions'!$D$6:$D$1005,"Buy"))</f>
        <v/>
      </c>
      <c r="R36" s="85">
        <f>IF(OR(K36="",SUM($K$7:$K$46)=0),"",K36/SUM($K$7:$K$46))</f>
        <v/>
      </c>
    </row>
    <row r="37" ht="21" customHeight="1">
      <c r="B37" s="41" t="n"/>
      <c r="C37" s="73" t="n"/>
      <c r="D37" s="41" t="n"/>
      <c r="E37" s="41" t="n"/>
      <c r="F37" s="41" t="n"/>
      <c r="G37" s="78">
        <f>IF(B37="","",SUMIFS('Transactions'!$E$6:$E$1005,'Transactions'!$C$6:$C$1005,$B37,'Transactions'!$D$6:$D$1005,"Buy")-SUMIFS('Transactions'!$E$6:$E$1005,'Transactions'!$C$6:$C$1005,$B37,'Transactions'!$D$6:$D$1005,"Sell"))</f>
        <v/>
      </c>
      <c r="H37" s="79">
        <f>IF(B37="","",IF(SUMIFS('Transactions'!$E$6:$E$1005,'Transactions'!$C$6:$C$1005,$B37,'Transactions'!$D$6:$D$1005,"Buy")=0,0,SUMIFS('Transactions'!$J$6:$J$1005,'Transactions'!$C$6:$C$1005,$B37,'Transactions'!$D$6:$D$1005,"Buy")/SUMIFS('Transactions'!$E$6:$E$1005,'Transactions'!$C$6:$C$1005,$B37,'Transactions'!$D$6:$D$1005,"Buy")))</f>
        <v/>
      </c>
      <c r="I37" s="80" t="n"/>
      <c r="J37" s="74">
        <f>IF(B37="","",G37*H37)</f>
        <v/>
      </c>
      <c r="K37" s="81">
        <f>IF(OR(B37="",I37=""),"",G37*I37)</f>
        <v/>
      </c>
      <c r="L37" s="82">
        <f>IF(K37="","",K37-J37)</f>
        <v/>
      </c>
      <c r="M37" s="83">
        <f>IF(OR(K37="",J37=0),"",L37/J37)</f>
        <v/>
      </c>
      <c r="N37" s="82">
        <f>IF(B37="","",SUMIFS('Transactions'!$J$6:$J$1005,'Transactions'!$C$6:$C$1005,$B37,'Transactions'!$D$6:$D$1005,"Sell")-SUMIFS('Transactions'!$E$6:$E$1005,'Transactions'!$C$6:$C$1005,$B37,'Transactions'!$D$6:$D$1005,"Sell")*H37)</f>
        <v/>
      </c>
      <c r="O37" s="74">
        <f>IF(B37="","",SUMIFS('Transactions'!$J$6:$J$1005,'Transactions'!$C$6:$C$1005,$B37,'Transactions'!$D$6:$D$1005,"Dividend"))</f>
        <v/>
      </c>
      <c r="P37" s="84">
        <f>IF(K37="","",L37+N37+O37)</f>
        <v/>
      </c>
      <c r="Q37" s="83">
        <f>IF(OR(K37="",SUMIFS('Transactions'!$J$6:$J$1005,'Transactions'!$C$6:$C$1005,$B37,'Transactions'!$D$6:$D$1005,"Buy")=0),"",P37/SUMIFS('Transactions'!$J$6:$J$1005,'Transactions'!$C$6:$C$1005,$B37,'Transactions'!$D$6:$D$1005,"Buy"))</f>
        <v/>
      </c>
      <c r="R37" s="85">
        <f>IF(OR(K37="",SUM($K$7:$K$46)=0),"",K37/SUM($K$7:$K$46))</f>
        <v/>
      </c>
    </row>
    <row r="38" ht="21" customHeight="1">
      <c r="B38" s="41" t="n"/>
      <c r="C38" s="73" t="n"/>
      <c r="D38" s="41" t="n"/>
      <c r="E38" s="41" t="n"/>
      <c r="F38" s="41" t="n"/>
      <c r="G38" s="78">
        <f>IF(B38="","",SUMIFS('Transactions'!$E$6:$E$1005,'Transactions'!$C$6:$C$1005,$B38,'Transactions'!$D$6:$D$1005,"Buy")-SUMIFS('Transactions'!$E$6:$E$1005,'Transactions'!$C$6:$C$1005,$B38,'Transactions'!$D$6:$D$1005,"Sell"))</f>
        <v/>
      </c>
      <c r="H38" s="79">
        <f>IF(B38="","",IF(SUMIFS('Transactions'!$E$6:$E$1005,'Transactions'!$C$6:$C$1005,$B38,'Transactions'!$D$6:$D$1005,"Buy")=0,0,SUMIFS('Transactions'!$J$6:$J$1005,'Transactions'!$C$6:$C$1005,$B38,'Transactions'!$D$6:$D$1005,"Buy")/SUMIFS('Transactions'!$E$6:$E$1005,'Transactions'!$C$6:$C$1005,$B38,'Transactions'!$D$6:$D$1005,"Buy")))</f>
        <v/>
      </c>
      <c r="I38" s="80" t="n"/>
      <c r="J38" s="74">
        <f>IF(B38="","",G38*H38)</f>
        <v/>
      </c>
      <c r="K38" s="81">
        <f>IF(OR(B38="",I38=""),"",G38*I38)</f>
        <v/>
      </c>
      <c r="L38" s="82">
        <f>IF(K38="","",K38-J38)</f>
        <v/>
      </c>
      <c r="M38" s="83">
        <f>IF(OR(K38="",J38=0),"",L38/J38)</f>
        <v/>
      </c>
      <c r="N38" s="82">
        <f>IF(B38="","",SUMIFS('Transactions'!$J$6:$J$1005,'Transactions'!$C$6:$C$1005,$B38,'Transactions'!$D$6:$D$1005,"Sell")-SUMIFS('Transactions'!$E$6:$E$1005,'Transactions'!$C$6:$C$1005,$B38,'Transactions'!$D$6:$D$1005,"Sell")*H38)</f>
        <v/>
      </c>
      <c r="O38" s="74">
        <f>IF(B38="","",SUMIFS('Transactions'!$J$6:$J$1005,'Transactions'!$C$6:$C$1005,$B38,'Transactions'!$D$6:$D$1005,"Dividend"))</f>
        <v/>
      </c>
      <c r="P38" s="84">
        <f>IF(K38="","",L38+N38+O38)</f>
        <v/>
      </c>
      <c r="Q38" s="83">
        <f>IF(OR(K38="",SUMIFS('Transactions'!$J$6:$J$1005,'Transactions'!$C$6:$C$1005,$B38,'Transactions'!$D$6:$D$1005,"Buy")=0),"",P38/SUMIFS('Transactions'!$J$6:$J$1005,'Transactions'!$C$6:$C$1005,$B38,'Transactions'!$D$6:$D$1005,"Buy"))</f>
        <v/>
      </c>
      <c r="R38" s="85">
        <f>IF(OR(K38="",SUM($K$7:$K$46)=0),"",K38/SUM($K$7:$K$46))</f>
        <v/>
      </c>
    </row>
    <row r="39" ht="21" customHeight="1">
      <c r="B39" s="41" t="n"/>
      <c r="C39" s="73" t="n"/>
      <c r="D39" s="41" t="n"/>
      <c r="E39" s="41" t="n"/>
      <c r="F39" s="41" t="n"/>
      <c r="G39" s="78">
        <f>IF(B39="","",SUMIFS('Transactions'!$E$6:$E$1005,'Transactions'!$C$6:$C$1005,$B39,'Transactions'!$D$6:$D$1005,"Buy")-SUMIFS('Transactions'!$E$6:$E$1005,'Transactions'!$C$6:$C$1005,$B39,'Transactions'!$D$6:$D$1005,"Sell"))</f>
        <v/>
      </c>
      <c r="H39" s="79">
        <f>IF(B39="","",IF(SUMIFS('Transactions'!$E$6:$E$1005,'Transactions'!$C$6:$C$1005,$B39,'Transactions'!$D$6:$D$1005,"Buy")=0,0,SUMIFS('Transactions'!$J$6:$J$1005,'Transactions'!$C$6:$C$1005,$B39,'Transactions'!$D$6:$D$1005,"Buy")/SUMIFS('Transactions'!$E$6:$E$1005,'Transactions'!$C$6:$C$1005,$B39,'Transactions'!$D$6:$D$1005,"Buy")))</f>
        <v/>
      </c>
      <c r="I39" s="80" t="n"/>
      <c r="J39" s="74">
        <f>IF(B39="","",G39*H39)</f>
        <v/>
      </c>
      <c r="K39" s="81">
        <f>IF(OR(B39="",I39=""),"",G39*I39)</f>
        <v/>
      </c>
      <c r="L39" s="82">
        <f>IF(K39="","",K39-J39)</f>
        <v/>
      </c>
      <c r="M39" s="83">
        <f>IF(OR(K39="",J39=0),"",L39/J39)</f>
        <v/>
      </c>
      <c r="N39" s="82">
        <f>IF(B39="","",SUMIFS('Transactions'!$J$6:$J$1005,'Transactions'!$C$6:$C$1005,$B39,'Transactions'!$D$6:$D$1005,"Sell")-SUMIFS('Transactions'!$E$6:$E$1005,'Transactions'!$C$6:$C$1005,$B39,'Transactions'!$D$6:$D$1005,"Sell")*H39)</f>
        <v/>
      </c>
      <c r="O39" s="74">
        <f>IF(B39="","",SUMIFS('Transactions'!$J$6:$J$1005,'Transactions'!$C$6:$C$1005,$B39,'Transactions'!$D$6:$D$1005,"Dividend"))</f>
        <v/>
      </c>
      <c r="P39" s="84">
        <f>IF(K39="","",L39+N39+O39)</f>
        <v/>
      </c>
      <c r="Q39" s="83">
        <f>IF(OR(K39="",SUMIFS('Transactions'!$J$6:$J$1005,'Transactions'!$C$6:$C$1005,$B39,'Transactions'!$D$6:$D$1005,"Buy")=0),"",P39/SUMIFS('Transactions'!$J$6:$J$1005,'Transactions'!$C$6:$C$1005,$B39,'Transactions'!$D$6:$D$1005,"Buy"))</f>
        <v/>
      </c>
      <c r="R39" s="85">
        <f>IF(OR(K39="",SUM($K$7:$K$46)=0),"",K39/SUM($K$7:$K$46))</f>
        <v/>
      </c>
    </row>
    <row r="40" ht="21" customHeight="1">
      <c r="B40" s="41" t="n"/>
      <c r="C40" s="73" t="n"/>
      <c r="D40" s="41" t="n"/>
      <c r="E40" s="41" t="n"/>
      <c r="F40" s="41" t="n"/>
      <c r="G40" s="78">
        <f>IF(B40="","",SUMIFS('Transactions'!$E$6:$E$1005,'Transactions'!$C$6:$C$1005,$B40,'Transactions'!$D$6:$D$1005,"Buy")-SUMIFS('Transactions'!$E$6:$E$1005,'Transactions'!$C$6:$C$1005,$B40,'Transactions'!$D$6:$D$1005,"Sell"))</f>
        <v/>
      </c>
      <c r="H40" s="79">
        <f>IF(B40="","",IF(SUMIFS('Transactions'!$E$6:$E$1005,'Transactions'!$C$6:$C$1005,$B40,'Transactions'!$D$6:$D$1005,"Buy")=0,0,SUMIFS('Transactions'!$J$6:$J$1005,'Transactions'!$C$6:$C$1005,$B40,'Transactions'!$D$6:$D$1005,"Buy")/SUMIFS('Transactions'!$E$6:$E$1005,'Transactions'!$C$6:$C$1005,$B40,'Transactions'!$D$6:$D$1005,"Buy")))</f>
        <v/>
      </c>
      <c r="I40" s="80" t="n"/>
      <c r="J40" s="74">
        <f>IF(B40="","",G40*H40)</f>
        <v/>
      </c>
      <c r="K40" s="81">
        <f>IF(OR(B40="",I40=""),"",G40*I40)</f>
        <v/>
      </c>
      <c r="L40" s="82">
        <f>IF(K40="","",K40-J40)</f>
        <v/>
      </c>
      <c r="M40" s="83">
        <f>IF(OR(K40="",J40=0),"",L40/J40)</f>
        <v/>
      </c>
      <c r="N40" s="82">
        <f>IF(B40="","",SUMIFS('Transactions'!$J$6:$J$1005,'Transactions'!$C$6:$C$1005,$B40,'Transactions'!$D$6:$D$1005,"Sell")-SUMIFS('Transactions'!$E$6:$E$1005,'Transactions'!$C$6:$C$1005,$B40,'Transactions'!$D$6:$D$1005,"Sell")*H40)</f>
        <v/>
      </c>
      <c r="O40" s="74">
        <f>IF(B40="","",SUMIFS('Transactions'!$J$6:$J$1005,'Transactions'!$C$6:$C$1005,$B40,'Transactions'!$D$6:$D$1005,"Dividend"))</f>
        <v/>
      </c>
      <c r="P40" s="84">
        <f>IF(K40="","",L40+N40+O40)</f>
        <v/>
      </c>
      <c r="Q40" s="83">
        <f>IF(OR(K40="",SUMIFS('Transactions'!$J$6:$J$1005,'Transactions'!$C$6:$C$1005,$B40,'Transactions'!$D$6:$D$1005,"Buy")=0),"",P40/SUMIFS('Transactions'!$J$6:$J$1005,'Transactions'!$C$6:$C$1005,$B40,'Transactions'!$D$6:$D$1005,"Buy"))</f>
        <v/>
      </c>
      <c r="R40" s="85">
        <f>IF(OR(K40="",SUM($K$7:$K$46)=0),"",K40/SUM($K$7:$K$46))</f>
        <v/>
      </c>
    </row>
    <row r="41" ht="21" customHeight="1">
      <c r="B41" s="41" t="n"/>
      <c r="C41" s="73" t="n"/>
      <c r="D41" s="41" t="n"/>
      <c r="E41" s="41" t="n"/>
      <c r="F41" s="41" t="n"/>
      <c r="G41" s="78">
        <f>IF(B41="","",SUMIFS('Transactions'!$E$6:$E$1005,'Transactions'!$C$6:$C$1005,$B41,'Transactions'!$D$6:$D$1005,"Buy")-SUMIFS('Transactions'!$E$6:$E$1005,'Transactions'!$C$6:$C$1005,$B41,'Transactions'!$D$6:$D$1005,"Sell"))</f>
        <v/>
      </c>
      <c r="H41" s="79">
        <f>IF(B41="","",IF(SUMIFS('Transactions'!$E$6:$E$1005,'Transactions'!$C$6:$C$1005,$B41,'Transactions'!$D$6:$D$1005,"Buy")=0,0,SUMIFS('Transactions'!$J$6:$J$1005,'Transactions'!$C$6:$C$1005,$B41,'Transactions'!$D$6:$D$1005,"Buy")/SUMIFS('Transactions'!$E$6:$E$1005,'Transactions'!$C$6:$C$1005,$B41,'Transactions'!$D$6:$D$1005,"Buy")))</f>
        <v/>
      </c>
      <c r="I41" s="80" t="n"/>
      <c r="J41" s="74">
        <f>IF(B41="","",G41*H41)</f>
        <v/>
      </c>
      <c r="K41" s="81">
        <f>IF(OR(B41="",I41=""),"",G41*I41)</f>
        <v/>
      </c>
      <c r="L41" s="82">
        <f>IF(K41="","",K41-J41)</f>
        <v/>
      </c>
      <c r="M41" s="83">
        <f>IF(OR(K41="",J41=0),"",L41/J41)</f>
        <v/>
      </c>
      <c r="N41" s="82">
        <f>IF(B41="","",SUMIFS('Transactions'!$J$6:$J$1005,'Transactions'!$C$6:$C$1005,$B41,'Transactions'!$D$6:$D$1005,"Sell")-SUMIFS('Transactions'!$E$6:$E$1005,'Transactions'!$C$6:$C$1005,$B41,'Transactions'!$D$6:$D$1005,"Sell")*H41)</f>
        <v/>
      </c>
      <c r="O41" s="74">
        <f>IF(B41="","",SUMIFS('Transactions'!$J$6:$J$1005,'Transactions'!$C$6:$C$1005,$B41,'Transactions'!$D$6:$D$1005,"Dividend"))</f>
        <v/>
      </c>
      <c r="P41" s="84">
        <f>IF(K41="","",L41+N41+O41)</f>
        <v/>
      </c>
      <c r="Q41" s="83">
        <f>IF(OR(K41="",SUMIFS('Transactions'!$J$6:$J$1005,'Transactions'!$C$6:$C$1005,$B41,'Transactions'!$D$6:$D$1005,"Buy")=0),"",P41/SUMIFS('Transactions'!$J$6:$J$1005,'Transactions'!$C$6:$C$1005,$B41,'Transactions'!$D$6:$D$1005,"Buy"))</f>
        <v/>
      </c>
      <c r="R41" s="85">
        <f>IF(OR(K41="",SUM($K$7:$K$46)=0),"",K41/SUM($K$7:$K$46))</f>
        <v/>
      </c>
    </row>
    <row r="42" ht="21" customHeight="1">
      <c r="B42" s="41" t="n"/>
      <c r="C42" s="73" t="n"/>
      <c r="D42" s="41" t="n"/>
      <c r="E42" s="41" t="n"/>
      <c r="F42" s="41" t="n"/>
      <c r="G42" s="78">
        <f>IF(B42="","",SUMIFS('Transactions'!$E$6:$E$1005,'Transactions'!$C$6:$C$1005,$B42,'Transactions'!$D$6:$D$1005,"Buy")-SUMIFS('Transactions'!$E$6:$E$1005,'Transactions'!$C$6:$C$1005,$B42,'Transactions'!$D$6:$D$1005,"Sell"))</f>
        <v/>
      </c>
      <c r="H42" s="79">
        <f>IF(B42="","",IF(SUMIFS('Transactions'!$E$6:$E$1005,'Transactions'!$C$6:$C$1005,$B42,'Transactions'!$D$6:$D$1005,"Buy")=0,0,SUMIFS('Transactions'!$J$6:$J$1005,'Transactions'!$C$6:$C$1005,$B42,'Transactions'!$D$6:$D$1005,"Buy")/SUMIFS('Transactions'!$E$6:$E$1005,'Transactions'!$C$6:$C$1005,$B42,'Transactions'!$D$6:$D$1005,"Buy")))</f>
        <v/>
      </c>
      <c r="I42" s="80" t="n"/>
      <c r="J42" s="74">
        <f>IF(B42="","",G42*H42)</f>
        <v/>
      </c>
      <c r="K42" s="81">
        <f>IF(OR(B42="",I42=""),"",G42*I42)</f>
        <v/>
      </c>
      <c r="L42" s="82">
        <f>IF(K42="","",K42-J42)</f>
        <v/>
      </c>
      <c r="M42" s="83">
        <f>IF(OR(K42="",J42=0),"",L42/J42)</f>
        <v/>
      </c>
      <c r="N42" s="82">
        <f>IF(B42="","",SUMIFS('Transactions'!$J$6:$J$1005,'Transactions'!$C$6:$C$1005,$B42,'Transactions'!$D$6:$D$1005,"Sell")-SUMIFS('Transactions'!$E$6:$E$1005,'Transactions'!$C$6:$C$1005,$B42,'Transactions'!$D$6:$D$1005,"Sell")*H42)</f>
        <v/>
      </c>
      <c r="O42" s="74">
        <f>IF(B42="","",SUMIFS('Transactions'!$J$6:$J$1005,'Transactions'!$C$6:$C$1005,$B42,'Transactions'!$D$6:$D$1005,"Dividend"))</f>
        <v/>
      </c>
      <c r="P42" s="84">
        <f>IF(K42="","",L42+N42+O42)</f>
        <v/>
      </c>
      <c r="Q42" s="83">
        <f>IF(OR(K42="",SUMIFS('Transactions'!$J$6:$J$1005,'Transactions'!$C$6:$C$1005,$B42,'Transactions'!$D$6:$D$1005,"Buy")=0),"",P42/SUMIFS('Transactions'!$J$6:$J$1005,'Transactions'!$C$6:$C$1005,$B42,'Transactions'!$D$6:$D$1005,"Buy"))</f>
        <v/>
      </c>
      <c r="R42" s="85">
        <f>IF(OR(K42="",SUM($K$7:$K$46)=0),"",K42/SUM($K$7:$K$46))</f>
        <v/>
      </c>
    </row>
    <row r="43" ht="21" customHeight="1">
      <c r="B43" s="41" t="n"/>
      <c r="C43" s="73" t="n"/>
      <c r="D43" s="41" t="n"/>
      <c r="E43" s="41" t="n"/>
      <c r="F43" s="41" t="n"/>
      <c r="G43" s="78">
        <f>IF(B43="","",SUMIFS('Transactions'!$E$6:$E$1005,'Transactions'!$C$6:$C$1005,$B43,'Transactions'!$D$6:$D$1005,"Buy")-SUMIFS('Transactions'!$E$6:$E$1005,'Transactions'!$C$6:$C$1005,$B43,'Transactions'!$D$6:$D$1005,"Sell"))</f>
        <v/>
      </c>
      <c r="H43" s="79">
        <f>IF(B43="","",IF(SUMIFS('Transactions'!$E$6:$E$1005,'Transactions'!$C$6:$C$1005,$B43,'Transactions'!$D$6:$D$1005,"Buy")=0,0,SUMIFS('Transactions'!$J$6:$J$1005,'Transactions'!$C$6:$C$1005,$B43,'Transactions'!$D$6:$D$1005,"Buy")/SUMIFS('Transactions'!$E$6:$E$1005,'Transactions'!$C$6:$C$1005,$B43,'Transactions'!$D$6:$D$1005,"Buy")))</f>
        <v/>
      </c>
      <c r="I43" s="80" t="n"/>
      <c r="J43" s="74">
        <f>IF(B43="","",G43*H43)</f>
        <v/>
      </c>
      <c r="K43" s="81">
        <f>IF(OR(B43="",I43=""),"",G43*I43)</f>
        <v/>
      </c>
      <c r="L43" s="82">
        <f>IF(K43="","",K43-J43)</f>
        <v/>
      </c>
      <c r="M43" s="83">
        <f>IF(OR(K43="",J43=0),"",L43/J43)</f>
        <v/>
      </c>
      <c r="N43" s="82">
        <f>IF(B43="","",SUMIFS('Transactions'!$J$6:$J$1005,'Transactions'!$C$6:$C$1005,$B43,'Transactions'!$D$6:$D$1005,"Sell")-SUMIFS('Transactions'!$E$6:$E$1005,'Transactions'!$C$6:$C$1005,$B43,'Transactions'!$D$6:$D$1005,"Sell")*H43)</f>
        <v/>
      </c>
      <c r="O43" s="74">
        <f>IF(B43="","",SUMIFS('Transactions'!$J$6:$J$1005,'Transactions'!$C$6:$C$1005,$B43,'Transactions'!$D$6:$D$1005,"Dividend"))</f>
        <v/>
      </c>
      <c r="P43" s="84">
        <f>IF(K43="","",L43+N43+O43)</f>
        <v/>
      </c>
      <c r="Q43" s="83">
        <f>IF(OR(K43="",SUMIFS('Transactions'!$J$6:$J$1005,'Transactions'!$C$6:$C$1005,$B43,'Transactions'!$D$6:$D$1005,"Buy")=0),"",P43/SUMIFS('Transactions'!$J$6:$J$1005,'Transactions'!$C$6:$C$1005,$B43,'Transactions'!$D$6:$D$1005,"Buy"))</f>
        <v/>
      </c>
      <c r="R43" s="85">
        <f>IF(OR(K43="",SUM($K$7:$K$46)=0),"",K43/SUM($K$7:$K$46))</f>
        <v/>
      </c>
    </row>
    <row r="44" ht="21" customHeight="1">
      <c r="B44" s="41" t="n"/>
      <c r="C44" s="73" t="n"/>
      <c r="D44" s="41" t="n"/>
      <c r="E44" s="41" t="n"/>
      <c r="F44" s="41" t="n"/>
      <c r="G44" s="78">
        <f>IF(B44="","",SUMIFS('Transactions'!$E$6:$E$1005,'Transactions'!$C$6:$C$1005,$B44,'Transactions'!$D$6:$D$1005,"Buy")-SUMIFS('Transactions'!$E$6:$E$1005,'Transactions'!$C$6:$C$1005,$B44,'Transactions'!$D$6:$D$1005,"Sell"))</f>
        <v/>
      </c>
      <c r="H44" s="79">
        <f>IF(B44="","",IF(SUMIFS('Transactions'!$E$6:$E$1005,'Transactions'!$C$6:$C$1005,$B44,'Transactions'!$D$6:$D$1005,"Buy")=0,0,SUMIFS('Transactions'!$J$6:$J$1005,'Transactions'!$C$6:$C$1005,$B44,'Transactions'!$D$6:$D$1005,"Buy")/SUMIFS('Transactions'!$E$6:$E$1005,'Transactions'!$C$6:$C$1005,$B44,'Transactions'!$D$6:$D$1005,"Buy")))</f>
        <v/>
      </c>
      <c r="I44" s="80" t="n"/>
      <c r="J44" s="74">
        <f>IF(B44="","",G44*H44)</f>
        <v/>
      </c>
      <c r="K44" s="81">
        <f>IF(OR(B44="",I44=""),"",G44*I44)</f>
        <v/>
      </c>
      <c r="L44" s="82">
        <f>IF(K44="","",K44-J44)</f>
        <v/>
      </c>
      <c r="M44" s="83">
        <f>IF(OR(K44="",J44=0),"",L44/J44)</f>
        <v/>
      </c>
      <c r="N44" s="82">
        <f>IF(B44="","",SUMIFS('Transactions'!$J$6:$J$1005,'Transactions'!$C$6:$C$1005,$B44,'Transactions'!$D$6:$D$1005,"Sell")-SUMIFS('Transactions'!$E$6:$E$1005,'Transactions'!$C$6:$C$1005,$B44,'Transactions'!$D$6:$D$1005,"Sell")*H44)</f>
        <v/>
      </c>
      <c r="O44" s="74">
        <f>IF(B44="","",SUMIFS('Transactions'!$J$6:$J$1005,'Transactions'!$C$6:$C$1005,$B44,'Transactions'!$D$6:$D$1005,"Dividend"))</f>
        <v/>
      </c>
      <c r="P44" s="84">
        <f>IF(K44="","",L44+N44+O44)</f>
        <v/>
      </c>
      <c r="Q44" s="83">
        <f>IF(OR(K44="",SUMIFS('Transactions'!$J$6:$J$1005,'Transactions'!$C$6:$C$1005,$B44,'Transactions'!$D$6:$D$1005,"Buy")=0),"",P44/SUMIFS('Transactions'!$J$6:$J$1005,'Transactions'!$C$6:$C$1005,$B44,'Transactions'!$D$6:$D$1005,"Buy"))</f>
        <v/>
      </c>
      <c r="R44" s="85">
        <f>IF(OR(K44="",SUM($K$7:$K$46)=0),"",K44/SUM($K$7:$K$46))</f>
        <v/>
      </c>
    </row>
    <row r="45" ht="21" customHeight="1">
      <c r="B45" s="41" t="n"/>
      <c r="C45" s="73" t="n"/>
      <c r="D45" s="41" t="n"/>
      <c r="E45" s="41" t="n"/>
      <c r="F45" s="41" t="n"/>
      <c r="G45" s="78">
        <f>IF(B45="","",SUMIFS('Transactions'!$E$6:$E$1005,'Transactions'!$C$6:$C$1005,$B45,'Transactions'!$D$6:$D$1005,"Buy")-SUMIFS('Transactions'!$E$6:$E$1005,'Transactions'!$C$6:$C$1005,$B45,'Transactions'!$D$6:$D$1005,"Sell"))</f>
        <v/>
      </c>
      <c r="H45" s="79">
        <f>IF(B45="","",IF(SUMIFS('Transactions'!$E$6:$E$1005,'Transactions'!$C$6:$C$1005,$B45,'Transactions'!$D$6:$D$1005,"Buy")=0,0,SUMIFS('Transactions'!$J$6:$J$1005,'Transactions'!$C$6:$C$1005,$B45,'Transactions'!$D$6:$D$1005,"Buy")/SUMIFS('Transactions'!$E$6:$E$1005,'Transactions'!$C$6:$C$1005,$B45,'Transactions'!$D$6:$D$1005,"Buy")))</f>
        <v/>
      </c>
      <c r="I45" s="80" t="n"/>
      <c r="J45" s="74">
        <f>IF(B45="","",G45*H45)</f>
        <v/>
      </c>
      <c r="K45" s="81">
        <f>IF(OR(B45="",I45=""),"",G45*I45)</f>
        <v/>
      </c>
      <c r="L45" s="82">
        <f>IF(K45="","",K45-J45)</f>
        <v/>
      </c>
      <c r="M45" s="83">
        <f>IF(OR(K45="",J45=0),"",L45/J45)</f>
        <v/>
      </c>
      <c r="N45" s="82">
        <f>IF(B45="","",SUMIFS('Transactions'!$J$6:$J$1005,'Transactions'!$C$6:$C$1005,$B45,'Transactions'!$D$6:$D$1005,"Sell")-SUMIFS('Transactions'!$E$6:$E$1005,'Transactions'!$C$6:$C$1005,$B45,'Transactions'!$D$6:$D$1005,"Sell")*H45)</f>
        <v/>
      </c>
      <c r="O45" s="74">
        <f>IF(B45="","",SUMIFS('Transactions'!$J$6:$J$1005,'Transactions'!$C$6:$C$1005,$B45,'Transactions'!$D$6:$D$1005,"Dividend"))</f>
        <v/>
      </c>
      <c r="P45" s="84">
        <f>IF(K45="","",L45+N45+O45)</f>
        <v/>
      </c>
      <c r="Q45" s="83">
        <f>IF(OR(K45="",SUMIFS('Transactions'!$J$6:$J$1005,'Transactions'!$C$6:$C$1005,$B45,'Transactions'!$D$6:$D$1005,"Buy")=0),"",P45/SUMIFS('Transactions'!$J$6:$J$1005,'Transactions'!$C$6:$C$1005,$B45,'Transactions'!$D$6:$D$1005,"Buy"))</f>
        <v/>
      </c>
      <c r="R45" s="85">
        <f>IF(OR(K45="",SUM($K$7:$K$46)=0),"",K45/SUM($K$7:$K$46))</f>
        <v/>
      </c>
    </row>
    <row r="46" ht="21" customHeight="1">
      <c r="B46" s="41" t="n"/>
      <c r="C46" s="73" t="n"/>
      <c r="D46" s="41" t="n"/>
      <c r="E46" s="41" t="n"/>
      <c r="F46" s="41" t="n"/>
      <c r="G46" s="78">
        <f>IF(B46="","",SUMIFS('Transactions'!$E$6:$E$1005,'Transactions'!$C$6:$C$1005,$B46,'Transactions'!$D$6:$D$1005,"Buy")-SUMIFS('Transactions'!$E$6:$E$1005,'Transactions'!$C$6:$C$1005,$B46,'Transactions'!$D$6:$D$1005,"Sell"))</f>
        <v/>
      </c>
      <c r="H46" s="79">
        <f>IF(B46="","",IF(SUMIFS('Transactions'!$E$6:$E$1005,'Transactions'!$C$6:$C$1005,$B46,'Transactions'!$D$6:$D$1005,"Buy")=0,0,SUMIFS('Transactions'!$J$6:$J$1005,'Transactions'!$C$6:$C$1005,$B46,'Transactions'!$D$6:$D$1005,"Buy")/SUMIFS('Transactions'!$E$6:$E$1005,'Transactions'!$C$6:$C$1005,$B46,'Transactions'!$D$6:$D$1005,"Buy")))</f>
        <v/>
      </c>
      <c r="I46" s="80" t="n"/>
      <c r="J46" s="74">
        <f>IF(B46="","",G46*H46)</f>
        <v/>
      </c>
      <c r="K46" s="81">
        <f>IF(OR(B46="",I46=""),"",G46*I46)</f>
        <v/>
      </c>
      <c r="L46" s="82">
        <f>IF(K46="","",K46-J46)</f>
        <v/>
      </c>
      <c r="M46" s="83">
        <f>IF(OR(K46="",J46=0),"",L46/J46)</f>
        <v/>
      </c>
      <c r="N46" s="82">
        <f>IF(B46="","",SUMIFS('Transactions'!$J$6:$J$1005,'Transactions'!$C$6:$C$1005,$B46,'Transactions'!$D$6:$D$1005,"Sell")-SUMIFS('Transactions'!$E$6:$E$1005,'Transactions'!$C$6:$C$1005,$B46,'Transactions'!$D$6:$D$1005,"Sell")*H46)</f>
        <v/>
      </c>
      <c r="O46" s="74">
        <f>IF(B46="","",SUMIFS('Transactions'!$J$6:$J$1005,'Transactions'!$C$6:$C$1005,$B46,'Transactions'!$D$6:$D$1005,"Dividend"))</f>
        <v/>
      </c>
      <c r="P46" s="84">
        <f>IF(K46="","",L46+N46+O46)</f>
        <v/>
      </c>
      <c r="Q46" s="83">
        <f>IF(OR(K46="",SUMIFS('Transactions'!$J$6:$J$1005,'Transactions'!$C$6:$C$1005,$B46,'Transactions'!$D$6:$D$1005,"Buy")=0),"",P46/SUMIFS('Transactions'!$J$6:$J$1005,'Transactions'!$C$6:$C$1005,$B46,'Transactions'!$D$6:$D$1005,"Buy"))</f>
        <v/>
      </c>
      <c r="R46" s="85">
        <f>IF(OR(K46="",SUM($K$7:$K$46)=0),"",K46/SUM($K$7:$K$46))</f>
        <v/>
      </c>
    </row>
    <row r="47">
      <c r="B47" s="86" t="inlineStr">
        <is>
          <t>Total</t>
        </is>
      </c>
      <c r="C47" s="87" t="n"/>
      <c r="D47" s="87" t="n"/>
      <c r="E47" s="87" t="n"/>
      <c r="F47" s="87" t="n"/>
      <c r="G47" s="87" t="n"/>
      <c r="H47" s="87" t="n"/>
      <c r="I47" s="87" t="n"/>
      <c r="J47" s="88">
        <f>SUM(J7:J46)</f>
        <v/>
      </c>
      <c r="K47" s="88">
        <f>SUM(K7:K46)</f>
        <v/>
      </c>
      <c r="L47" s="89">
        <f>SUM(L7:L46)</f>
        <v/>
      </c>
      <c r="M47" s="90">
        <f>IF(J47=0,0,L47/J47)</f>
        <v/>
      </c>
      <c r="N47" s="89">
        <f>SUM(N7:N46)</f>
        <v/>
      </c>
      <c r="O47" s="88">
        <f>SUM(O7:O46)</f>
        <v/>
      </c>
      <c r="P47" s="89">
        <f>SUM(P7:P46)</f>
        <v/>
      </c>
      <c r="Q47" s="90">
        <f>IF(SUMIFS('Transactions'!$J$6:$J$1005,'Transactions'!$D$6:$D$1005,"Buy")=0,0,P47/SUMIFS('Transactions'!$J$6:$J$1005,'Transactions'!$D$6:$D$1005,"Buy"))</f>
        <v/>
      </c>
      <c r="R47" s="91">
        <f>SUM(R7:R46)</f>
        <v/>
      </c>
    </row>
  </sheetData>
  <mergeCells count="1">
    <mergeCell ref="Q2:R2"/>
  </mergeCells>
  <conditionalFormatting sqref="L7:L47">
    <cfRule type="cellIs" priority="1" operator="lessThan" dxfId="4">
      <formula>0</formula>
    </cfRule>
    <cfRule type="cellIs" priority="2" operator="greaterThan" dxfId="5">
      <formula>0</formula>
    </cfRule>
  </conditionalFormatting>
  <conditionalFormatting sqref="M7:M47">
    <cfRule type="cellIs" priority="3" operator="lessThan" dxfId="4">
      <formula>0</formula>
    </cfRule>
    <cfRule type="cellIs" priority="4" operator="greaterThan" dxfId="5">
      <formula>0</formula>
    </cfRule>
  </conditionalFormatting>
  <conditionalFormatting sqref="N7:N47">
    <cfRule type="cellIs" priority="5" operator="lessThan" dxfId="4">
      <formula>0</formula>
    </cfRule>
    <cfRule type="cellIs" priority="6" operator="greaterThan" dxfId="5">
      <formula>0</formula>
    </cfRule>
  </conditionalFormatting>
  <conditionalFormatting sqref="P7:P47">
    <cfRule type="cellIs" priority="7" operator="lessThan" dxfId="4">
      <formula>0</formula>
    </cfRule>
    <cfRule type="cellIs" priority="8" operator="greaterThan" dxfId="5">
      <formula>0</formula>
    </cfRule>
  </conditionalFormatting>
  <conditionalFormatting sqref="Q7:Q47">
    <cfRule type="cellIs" priority="9" operator="lessThan" dxfId="4">
      <formula>0</formula>
    </cfRule>
    <cfRule type="cellIs" priority="10" operator="greaterThan" dxfId="5">
      <formula>0</formula>
    </cfRule>
  </conditionalFormatting>
  <conditionalFormatting sqref="R7:R46">
    <cfRule type="expression" priority="11" dxfId="9">
      <formula>AND(ISNUMBER(R7),R7&gt;'Settings'!$C$12)</formula>
    </cfRule>
  </conditionalFormatting>
  <dataValidations count="3">
    <dataValidation sqref="D7:D46" showDropDown="0" showInputMessage="0" showErrorMessage="0" allowBlank="1" type="list">
      <formula1>'Lists'!$B$6:$B$13</formula1>
    </dataValidation>
    <dataValidation sqref="E7:E46" showDropDown="0" showInputMessage="0" showErrorMessage="0" allowBlank="1" type="list">
      <formula1>'Lists'!$C$6:$C$17</formula1>
    </dataValidation>
    <dataValidation sqref="F7:F46" showDropDown="0" showInputMessage="0" showErrorMessage="0" allowBlank="1" type="list">
      <formula1>'Lists'!$D$6:$D$10</formula1>
    </dataValidation>
  </dataValidations>
  <hyperlinks>
    <hyperlink ref="Q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S4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2" customWidth="1" min="3" max="3"/>
    <col width="14" customWidth="1" min="4" max="4"/>
    <col width="12" customWidth="1" min="5" max="5"/>
    <col width="12" customWidth="1" min="6" max="6"/>
    <col width="14" customWidth="1" min="7" max="7"/>
    <col width="14" customWidth="1" min="8" max="8"/>
    <col width="12" customWidth="1" min="9" max="9"/>
    <col width="3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2" customWidth="1" min="19" max="19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31" t="inlineStr">
        <is>
          <t>Allocation &amp; rebalancing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32" t="inlineStr">
        <is>
          <t>← Accueil</t>
        </is>
      </c>
      <c r="R2" s="1" t="n"/>
      <c r="S2" s="1" t="n"/>
    </row>
    <row r="3" ht="18" customHeight="1">
      <c r="A3" s="1" t="n"/>
      <c r="B3" s="4" t="inlineStr">
        <is>
          <t>Where your money is, where you want it, and exactly what to buy or sell to get there.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6">
      <c r="B6" s="92" t="inlineStr">
        <is>
          <t>New money to invest</t>
        </is>
      </c>
      <c r="C6" s="45" t="n">
        <v>0</v>
      </c>
      <c r="D6" s="42" t="inlineStr">
        <is>
          <t>Optional: add a deposit to see how to split it across classes.</t>
        </is>
      </c>
      <c r="E6" s="42" t="n"/>
      <c r="F6" s="42" t="n"/>
      <c r="G6" s="42" t="n"/>
      <c r="H6" s="42" t="n"/>
      <c r="I6" s="42" t="n"/>
    </row>
    <row r="8" ht="24" customHeight="1">
      <c r="B8" s="13" t="inlineStr">
        <is>
          <t>BY ASSET CLASS</t>
        </is>
      </c>
      <c r="C8" s="14" t="n"/>
      <c r="D8" s="14" t="n"/>
      <c r="E8" s="14" t="n"/>
      <c r="F8" s="14" t="n"/>
      <c r="G8" s="14" t="n"/>
      <c r="H8" s="14" t="n"/>
      <c r="I8" s="14" t="n"/>
    </row>
    <row r="9" ht="30" customHeight="1">
      <c r="B9" s="67" t="inlineStr">
        <is>
          <t>Asset class</t>
        </is>
      </c>
      <c r="C9" s="67" t="inlineStr">
        <is>
          <t>Target %</t>
        </is>
      </c>
      <c r="D9" s="67" t="inlineStr">
        <is>
          <t>Current value</t>
        </is>
      </c>
      <c r="E9" s="67" t="inlineStr">
        <is>
          <t>Current %</t>
        </is>
      </c>
      <c r="F9" s="67" t="inlineStr">
        <is>
          <t>Drift</t>
        </is>
      </c>
      <c r="G9" s="67" t="inlineStr">
        <is>
          <t>Target value</t>
        </is>
      </c>
      <c r="H9" s="67" t="inlineStr">
        <is>
          <t>Action amount</t>
        </is>
      </c>
      <c r="I9" s="67" t="inlineStr">
        <is>
          <t>Signal</t>
        </is>
      </c>
    </row>
    <row r="10" ht="21" customHeight="1">
      <c r="B10" s="93">
        <f>IF('Lists'!B6="","",'Lists'!B6)</f>
        <v/>
      </c>
      <c r="C10" s="46" t="n">
        <v>0.4</v>
      </c>
      <c r="D10" s="74">
        <f>IF(B10="","",SUMIFS('Holdings'!$K$7:$K$46,'Holdings'!$D$7:$D$46,B10))</f>
        <v/>
      </c>
      <c r="E10" s="85">
        <f>IF(OR(B10="",$D$18=0),0,D10/$D$18)</f>
        <v/>
      </c>
      <c r="F10" s="94">
        <f>IF(B10="","",E10-C10)</f>
        <v/>
      </c>
      <c r="G10" s="74">
        <f>IF(B10="","",N(C10)*($D$18+$C$6))</f>
        <v/>
      </c>
      <c r="H10" s="84">
        <f>IF(B10="","",G10-D10)</f>
        <v/>
      </c>
      <c r="I10" s="95">
        <f>IF(OR(B10="",N(C10)=0),"",IF(ABS(F10)&lt;'Settings'!$C$13,"On target",IF(F10&gt;0,"Overweight","Underweight")))</f>
        <v/>
      </c>
    </row>
    <row r="11" ht="21" customHeight="1">
      <c r="B11" s="93">
        <f>IF('Lists'!B7="","",'Lists'!B7)</f>
        <v/>
      </c>
      <c r="C11" s="46" t="n">
        <v>0.35</v>
      </c>
      <c r="D11" s="74">
        <f>IF(B11="","",SUMIFS('Holdings'!$K$7:$K$46,'Holdings'!$D$7:$D$46,B11))</f>
        <v/>
      </c>
      <c r="E11" s="85">
        <f>IF(OR(B11="",$D$18=0),0,D11/$D$18)</f>
        <v/>
      </c>
      <c r="F11" s="94">
        <f>IF(B11="","",E11-C11)</f>
        <v/>
      </c>
      <c r="G11" s="74">
        <f>IF(B11="","",N(C11)*($D$18+$C$6))</f>
        <v/>
      </c>
      <c r="H11" s="84">
        <f>IF(B11="","",G11-D11)</f>
        <v/>
      </c>
      <c r="I11" s="95">
        <f>IF(OR(B11="",N(C11)=0),"",IF(ABS(F11)&lt;'Settings'!$C$13,"On target",IF(F11&gt;0,"Overweight","Underweight")))</f>
        <v/>
      </c>
    </row>
    <row r="12" ht="21" customHeight="1">
      <c r="B12" s="93">
        <f>IF('Lists'!B8="","",'Lists'!B8)</f>
        <v/>
      </c>
      <c r="C12" s="46" t="n">
        <v>0.1</v>
      </c>
      <c r="D12" s="74">
        <f>IF(B12="","",SUMIFS('Holdings'!$K$7:$K$46,'Holdings'!$D$7:$D$46,B12))</f>
        <v/>
      </c>
      <c r="E12" s="85">
        <f>IF(OR(B12="",$D$18=0),0,D12/$D$18)</f>
        <v/>
      </c>
      <c r="F12" s="94">
        <f>IF(B12="","",E12-C12)</f>
        <v/>
      </c>
      <c r="G12" s="74">
        <f>IF(B12="","",N(C12)*($D$18+$C$6))</f>
        <v/>
      </c>
      <c r="H12" s="84">
        <f>IF(B12="","",G12-D12)</f>
        <v/>
      </c>
      <c r="I12" s="95">
        <f>IF(OR(B12="",N(C12)=0),"",IF(ABS(F12)&lt;'Settings'!$C$13,"On target",IF(F12&gt;0,"Overweight","Underweight")))</f>
        <v/>
      </c>
    </row>
    <row r="13" ht="21" customHeight="1">
      <c r="B13" s="93">
        <f>IF('Lists'!B9="","",'Lists'!B9)</f>
        <v/>
      </c>
      <c r="C13" s="46" t="n">
        <v>0.06</v>
      </c>
      <c r="D13" s="74">
        <f>IF(B13="","",SUMIFS('Holdings'!$K$7:$K$46,'Holdings'!$D$7:$D$46,B13))</f>
        <v/>
      </c>
      <c r="E13" s="85">
        <f>IF(OR(B13="",$D$18=0),0,D13/$D$18)</f>
        <v/>
      </c>
      <c r="F13" s="94">
        <f>IF(B13="","",E13-C13)</f>
        <v/>
      </c>
      <c r="G13" s="74">
        <f>IF(B13="","",N(C13)*($D$18+$C$6))</f>
        <v/>
      </c>
      <c r="H13" s="84">
        <f>IF(B13="","",G13-D13)</f>
        <v/>
      </c>
      <c r="I13" s="95">
        <f>IF(OR(B13="",N(C13)=0),"",IF(ABS(F13)&lt;'Settings'!$C$13,"On target",IF(F13&gt;0,"Overweight","Underweight")))</f>
        <v/>
      </c>
    </row>
    <row r="14" ht="21" customHeight="1">
      <c r="B14" s="93">
        <f>IF('Lists'!B10="","",'Lists'!B10)</f>
        <v/>
      </c>
      <c r="C14" s="46" t="n">
        <v>0.04</v>
      </c>
      <c r="D14" s="74">
        <f>IF(B14="","",SUMIFS('Holdings'!$K$7:$K$46,'Holdings'!$D$7:$D$46,B14))</f>
        <v/>
      </c>
      <c r="E14" s="85">
        <f>IF(OR(B14="",$D$18=0),0,D14/$D$18)</f>
        <v/>
      </c>
      <c r="F14" s="94">
        <f>IF(B14="","",E14-C14)</f>
        <v/>
      </c>
      <c r="G14" s="74">
        <f>IF(B14="","",N(C14)*($D$18+$C$6))</f>
        <v/>
      </c>
      <c r="H14" s="84">
        <f>IF(B14="","",G14-D14)</f>
        <v/>
      </c>
      <c r="I14" s="95">
        <f>IF(OR(B14="",N(C14)=0),"",IF(ABS(F14)&lt;'Settings'!$C$13,"On target",IF(F14&gt;0,"Overweight","Underweight")))</f>
        <v/>
      </c>
    </row>
    <row r="15" ht="21" customHeight="1">
      <c r="B15" s="93">
        <f>IF('Lists'!B11="","",'Lists'!B11)</f>
        <v/>
      </c>
      <c r="C15" s="46" t="n">
        <v>0.05</v>
      </c>
      <c r="D15" s="74">
        <f>IF(B15="","",SUMIFS('Holdings'!$K$7:$K$46,'Holdings'!$D$7:$D$46,B15))</f>
        <v/>
      </c>
      <c r="E15" s="85">
        <f>IF(OR(B15="",$D$18=0),0,D15/$D$18)</f>
        <v/>
      </c>
      <c r="F15" s="94">
        <f>IF(B15="","",E15-C15)</f>
        <v/>
      </c>
      <c r="G15" s="74">
        <f>IF(B15="","",N(C15)*($D$18+$C$6))</f>
        <v/>
      </c>
      <c r="H15" s="84">
        <f>IF(B15="","",G15-D15)</f>
        <v/>
      </c>
      <c r="I15" s="95">
        <f>IF(OR(B15="",N(C15)=0),"",IF(ABS(F15)&lt;'Settings'!$C$13,"On target",IF(F15&gt;0,"Overweight","Underweight")))</f>
        <v/>
      </c>
    </row>
    <row r="16" ht="21" customHeight="1">
      <c r="B16" s="93">
        <f>IF('Lists'!B12="","",'Lists'!B12)</f>
        <v/>
      </c>
      <c r="C16" s="46" t="n">
        <v>0</v>
      </c>
      <c r="D16" s="74">
        <f>IF(B16="","",SUMIFS('Holdings'!$K$7:$K$46,'Holdings'!$D$7:$D$46,B16))</f>
        <v/>
      </c>
      <c r="E16" s="85">
        <f>IF(OR(B16="",$D$18=0),0,D16/$D$18)</f>
        <v/>
      </c>
      <c r="F16" s="94">
        <f>IF(B16="","",E16-C16)</f>
        <v/>
      </c>
      <c r="G16" s="74">
        <f>IF(B16="","",N(C16)*($D$18+$C$6))</f>
        <v/>
      </c>
      <c r="H16" s="84">
        <f>IF(B16="","",G16-D16)</f>
        <v/>
      </c>
      <c r="I16" s="95">
        <f>IF(OR(B16="",N(C16)=0),"",IF(ABS(F16)&lt;'Settings'!$C$13,"On target",IF(F16&gt;0,"Overweight","Underweight")))</f>
        <v/>
      </c>
    </row>
    <row r="17" ht="21" customHeight="1">
      <c r="B17" s="93">
        <f>IF('Lists'!B13="","",'Lists'!B13)</f>
        <v/>
      </c>
      <c r="C17" s="46" t="n">
        <v>0</v>
      </c>
      <c r="D17" s="74">
        <f>IF(B17="","",SUMIFS('Holdings'!$K$7:$K$46,'Holdings'!$D$7:$D$46,B17))</f>
        <v/>
      </c>
      <c r="E17" s="85">
        <f>IF(OR(B17="",$D$18=0),0,D17/$D$18)</f>
        <v/>
      </c>
      <c r="F17" s="94">
        <f>IF(B17="","",E17-C17)</f>
        <v/>
      </c>
      <c r="G17" s="74">
        <f>IF(B17="","",N(C17)*($D$18+$C$6))</f>
        <v/>
      </c>
      <c r="H17" s="84">
        <f>IF(B17="","",G17-D17)</f>
        <v/>
      </c>
      <c r="I17" s="95">
        <f>IF(OR(B17="",N(C17)=0),"",IF(ABS(F17)&lt;'Settings'!$C$13,"On target",IF(F17&gt;0,"Overweight","Underweight")))</f>
        <v/>
      </c>
    </row>
    <row r="18">
      <c r="B18" s="86" t="inlineStr">
        <is>
          <t>Total</t>
        </is>
      </c>
      <c r="C18" s="91">
        <f>SUM(C10:C17)</f>
        <v/>
      </c>
      <c r="D18" s="88">
        <f>SUM(D10:D17)</f>
        <v/>
      </c>
      <c r="E18" s="91">
        <f>SUM(E10:E17)</f>
        <v/>
      </c>
      <c r="F18" s="87" t="n"/>
      <c r="G18" s="88">
        <f>SUM(G10:G17)</f>
        <v/>
      </c>
      <c r="H18" s="87" t="n"/>
      <c r="I18" s="87" t="n"/>
    </row>
    <row r="19">
      <c r="B19" s="42">
        <f>IF(ROUND(C18,4)=1,"Targets add up to 100%.","Your targets add up to "&amp;ROUND(C18*100,0)&amp;"%: adjust them to reach 100%.")</f>
        <v/>
      </c>
      <c r="C19" s="42" t="n"/>
      <c r="D19" s="42" t="n"/>
      <c r="E19" s="42" t="n"/>
      <c r="F19" s="42" t="n"/>
      <c r="G19" s="42" t="n"/>
      <c r="H19" s="42" t="n"/>
      <c r="I19" s="42" t="n"/>
    </row>
    <row r="22" ht="24" customHeight="1">
      <c r="B22" s="18" t="inlineStr">
        <is>
          <t>BY SECTOR</t>
        </is>
      </c>
      <c r="C22" s="19" t="n"/>
      <c r="D22" s="19" t="n"/>
      <c r="E22" s="19" t="n"/>
      <c r="F22" s="19" t="n"/>
      <c r="G22" s="19" t="n"/>
      <c r="H22" s="19" t="n"/>
      <c r="I22" s="19" t="n"/>
    </row>
    <row r="23">
      <c r="B23" s="67" t="inlineStr">
        <is>
          <t>Sector</t>
        </is>
      </c>
      <c r="C23" s="67" t="inlineStr">
        <is>
          <t>Value</t>
        </is>
      </c>
      <c r="D23" s="67" t="inlineStr">
        <is>
          <t>Share</t>
        </is>
      </c>
    </row>
    <row r="24" ht="20" customHeight="1">
      <c r="B24" s="96">
        <f>IF('Lists'!C6="","",'Lists'!C6)</f>
        <v/>
      </c>
      <c r="C24" s="74">
        <f>IF(B24="",0,SUMIFS('Holdings'!$K$7:$K$46,'Holdings'!$E$7:$E$46,B24))</f>
        <v/>
      </c>
      <c r="D24" s="85">
        <f>IF($D$18=0,0,C24/$D$18)</f>
        <v/>
      </c>
    </row>
    <row r="25" ht="20" customHeight="1">
      <c r="B25" s="96">
        <f>IF('Lists'!C7="","",'Lists'!C7)</f>
        <v/>
      </c>
      <c r="C25" s="74">
        <f>IF(B25="",0,SUMIFS('Holdings'!$K$7:$K$46,'Holdings'!$E$7:$E$46,B25))</f>
        <v/>
      </c>
      <c r="D25" s="85">
        <f>IF($D$18=0,0,C25/$D$18)</f>
        <v/>
      </c>
    </row>
    <row r="26" ht="20" customHeight="1">
      <c r="B26" s="96">
        <f>IF('Lists'!C8="","",'Lists'!C8)</f>
        <v/>
      </c>
      <c r="C26" s="74">
        <f>IF(B26="",0,SUMIFS('Holdings'!$K$7:$K$46,'Holdings'!$E$7:$E$46,B26))</f>
        <v/>
      </c>
      <c r="D26" s="85">
        <f>IF($D$18=0,0,C26/$D$18)</f>
        <v/>
      </c>
    </row>
    <row r="27" ht="20" customHeight="1">
      <c r="B27" s="96">
        <f>IF('Lists'!C9="","",'Lists'!C9)</f>
        <v/>
      </c>
      <c r="C27" s="74">
        <f>IF(B27="",0,SUMIFS('Holdings'!$K$7:$K$46,'Holdings'!$E$7:$E$46,B27))</f>
        <v/>
      </c>
      <c r="D27" s="85">
        <f>IF($D$18=0,0,C27/$D$18)</f>
        <v/>
      </c>
    </row>
    <row r="28" ht="20" customHeight="1">
      <c r="B28" s="96">
        <f>IF('Lists'!C10="","",'Lists'!C10)</f>
        <v/>
      </c>
      <c r="C28" s="74">
        <f>IF(B28="",0,SUMIFS('Holdings'!$K$7:$K$46,'Holdings'!$E$7:$E$46,B28))</f>
        <v/>
      </c>
      <c r="D28" s="85">
        <f>IF($D$18=0,0,C28/$D$18)</f>
        <v/>
      </c>
    </row>
    <row r="29" ht="20" customHeight="1">
      <c r="B29" s="96">
        <f>IF('Lists'!C11="","",'Lists'!C11)</f>
        <v/>
      </c>
      <c r="C29" s="74">
        <f>IF(B29="",0,SUMIFS('Holdings'!$K$7:$K$46,'Holdings'!$E$7:$E$46,B29))</f>
        <v/>
      </c>
      <c r="D29" s="85">
        <f>IF($D$18=0,0,C29/$D$18)</f>
        <v/>
      </c>
    </row>
    <row r="30" ht="20" customHeight="1">
      <c r="B30" s="96">
        <f>IF('Lists'!C12="","",'Lists'!C12)</f>
        <v/>
      </c>
      <c r="C30" s="74">
        <f>IF(B30="",0,SUMIFS('Holdings'!$K$7:$K$46,'Holdings'!$E$7:$E$46,B30))</f>
        <v/>
      </c>
      <c r="D30" s="85">
        <f>IF($D$18=0,0,C30/$D$18)</f>
        <v/>
      </c>
    </row>
    <row r="31" ht="20" customHeight="1">
      <c r="B31" s="96">
        <f>IF('Lists'!C13="","",'Lists'!C13)</f>
        <v/>
      </c>
      <c r="C31" s="74">
        <f>IF(B31="",0,SUMIFS('Holdings'!$K$7:$K$46,'Holdings'!$E$7:$E$46,B31))</f>
        <v/>
      </c>
      <c r="D31" s="85">
        <f>IF($D$18=0,0,C31/$D$18)</f>
        <v/>
      </c>
    </row>
    <row r="32" ht="20" customHeight="1">
      <c r="B32" s="96">
        <f>IF('Lists'!C14="","",'Lists'!C14)</f>
        <v/>
      </c>
      <c r="C32" s="74">
        <f>IF(B32="",0,SUMIFS('Holdings'!$K$7:$K$46,'Holdings'!$E$7:$E$46,B32))</f>
        <v/>
      </c>
      <c r="D32" s="85">
        <f>IF($D$18=0,0,C32/$D$18)</f>
        <v/>
      </c>
    </row>
    <row r="33" ht="20" customHeight="1">
      <c r="B33" s="96">
        <f>IF('Lists'!C15="","",'Lists'!C15)</f>
        <v/>
      </c>
      <c r="C33" s="74">
        <f>IF(B33="",0,SUMIFS('Holdings'!$K$7:$K$46,'Holdings'!$E$7:$E$46,B33))</f>
        <v/>
      </c>
      <c r="D33" s="85">
        <f>IF($D$18=0,0,C33/$D$18)</f>
        <v/>
      </c>
    </row>
    <row r="34" ht="20" customHeight="1">
      <c r="B34" s="96">
        <f>IF('Lists'!C16="","",'Lists'!C16)</f>
        <v/>
      </c>
      <c r="C34" s="74">
        <f>IF(B34="",0,SUMIFS('Holdings'!$K$7:$K$46,'Holdings'!$E$7:$E$46,B34))</f>
        <v/>
      </c>
      <c r="D34" s="85">
        <f>IF($D$18=0,0,C34/$D$18)</f>
        <v/>
      </c>
    </row>
    <row r="35" ht="20" customHeight="1">
      <c r="B35" s="96">
        <f>IF('Lists'!C17="","",'Lists'!C17)</f>
        <v/>
      </c>
      <c r="C35" s="74">
        <f>IF(B35="",0,SUMIFS('Holdings'!$K$7:$K$46,'Holdings'!$E$7:$E$46,B35))</f>
        <v/>
      </c>
      <c r="D35" s="85">
        <f>IF($D$18=0,0,C35/$D$18)</f>
        <v/>
      </c>
    </row>
    <row r="38" ht="24" customHeight="1">
      <c r="B38" s="22" t="inlineStr">
        <is>
          <t>BY ACCOUNT</t>
        </is>
      </c>
      <c r="C38" s="23" t="n"/>
      <c r="D38" s="23" t="n"/>
      <c r="E38" s="23" t="n"/>
      <c r="F38" s="23" t="n"/>
      <c r="G38" s="23" t="n"/>
      <c r="H38" s="23" t="n"/>
      <c r="I38" s="23" t="n"/>
    </row>
    <row r="39">
      <c r="B39" s="67" t="inlineStr">
        <is>
          <t>Account</t>
        </is>
      </c>
      <c r="C39" s="67" t="inlineStr">
        <is>
          <t>Value</t>
        </is>
      </c>
      <c r="D39" s="67" t="inlineStr">
        <is>
          <t>Share</t>
        </is>
      </c>
    </row>
    <row r="40" ht="20" customHeight="1">
      <c r="B40" s="96">
        <f>IF('Lists'!D6="","",'Lists'!D6)</f>
        <v/>
      </c>
      <c r="C40" s="74">
        <f>IF(B40="",0,SUMIFS('Holdings'!$K$7:$K$46,'Holdings'!$F$7:$F$46,B40))</f>
        <v/>
      </c>
      <c r="D40" s="85">
        <f>IF($D$18=0,0,C40/$D$18)</f>
        <v/>
      </c>
    </row>
    <row r="41" ht="20" customHeight="1">
      <c r="B41" s="96">
        <f>IF('Lists'!D7="","",'Lists'!D7)</f>
        <v/>
      </c>
      <c r="C41" s="74">
        <f>IF(B41="",0,SUMIFS('Holdings'!$K$7:$K$46,'Holdings'!$F$7:$F$46,B41))</f>
        <v/>
      </c>
      <c r="D41" s="85">
        <f>IF($D$18=0,0,C41/$D$18)</f>
        <v/>
      </c>
    </row>
    <row r="42" ht="20" customHeight="1">
      <c r="B42" s="96">
        <f>IF('Lists'!D8="","",'Lists'!D8)</f>
        <v/>
      </c>
      <c r="C42" s="74">
        <f>IF(B42="",0,SUMIFS('Holdings'!$K$7:$K$46,'Holdings'!$F$7:$F$46,B42))</f>
        <v/>
      </c>
      <c r="D42" s="85">
        <f>IF($D$18=0,0,C42/$D$18)</f>
        <v/>
      </c>
    </row>
    <row r="43" ht="20" customHeight="1">
      <c r="B43" s="96">
        <f>IF('Lists'!D9="","",'Lists'!D9)</f>
        <v/>
      </c>
      <c r="C43" s="74">
        <f>IF(B43="",0,SUMIFS('Holdings'!$K$7:$K$46,'Holdings'!$F$7:$F$46,B43))</f>
        <v/>
      </c>
      <c r="D43" s="85">
        <f>IF($D$18=0,0,C43/$D$18)</f>
        <v/>
      </c>
    </row>
    <row r="44" ht="20" customHeight="1">
      <c r="B44" s="96">
        <f>IF('Lists'!D10="","",'Lists'!D10)</f>
        <v/>
      </c>
      <c r="C44" s="74">
        <f>IF(B44="",0,SUMIFS('Holdings'!$K$7:$K$46,'Holdings'!$F$7:$F$46,B44))</f>
        <v/>
      </c>
      <c r="D44" s="85">
        <f>IF($D$18=0,0,C44/$D$18)</f>
        <v/>
      </c>
    </row>
  </sheetData>
  <mergeCells count="6">
    <mergeCell ref="Q2:R2"/>
    <mergeCell ref="B38:I38"/>
    <mergeCell ref="B19:I19"/>
    <mergeCell ref="B22:I22"/>
    <mergeCell ref="D6:I6"/>
    <mergeCell ref="B8:I8"/>
  </mergeCells>
  <conditionalFormatting sqref="F10:F17">
    <cfRule type="cellIs" priority="1" operator="lessThan" dxfId="4">
      <formula>0</formula>
    </cfRule>
    <cfRule type="cellIs" priority="2" operator="greaterThan" dxfId="5">
      <formula>0</formula>
    </cfRule>
  </conditionalFormatting>
  <conditionalFormatting sqref="H10:H17">
    <cfRule type="cellIs" priority="3" operator="lessThan" dxfId="4">
      <formula>0</formula>
    </cfRule>
    <cfRule type="cellIs" priority="4" operator="greaterThan" dxfId="5">
      <formula>0</formula>
    </cfRule>
  </conditionalFormatting>
  <conditionalFormatting sqref="I10:I17">
    <cfRule type="cellIs" priority="5" operator="equal" dxfId="8">
      <formula>"On target"</formula>
    </cfRule>
    <cfRule type="cellIs" priority="6" operator="equal" dxfId="9">
      <formula>"Overweight"</formula>
    </cfRule>
    <cfRule type="cellIs" priority="7" operator="equal" dxfId="7">
      <formula>"Underweight"</formula>
    </cfRule>
  </conditionalFormatting>
  <hyperlinks>
    <hyperlink ref="Q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R42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2" customWidth="1" min="2" max="2"/>
    <col width="16" customWidth="1" min="3" max="3"/>
    <col width="16" customWidth="1" min="4" max="4"/>
    <col width="18" customWidth="1" min="5" max="5"/>
    <col width="12" customWidth="1" min="6" max="6"/>
    <col width="14" customWidth="1" min="7" max="7"/>
    <col width="16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31" t="inlineStr">
        <is>
          <t>Performance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32" t="inlineStr">
        <is>
          <t>← Accueil</t>
        </is>
      </c>
      <c r="Q2" s="1" t="n"/>
      <c r="R2" s="1" t="n"/>
    </row>
    <row r="3" ht="18" customHeight="1">
      <c r="A3" s="1" t="n"/>
      <c r="B3" s="4" t="inlineStr">
        <is>
          <t>Enter your portfolio value at the end of each month. Returns are calculated net of your contributions.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</row>
    <row r="6" ht="34" customHeight="1">
      <c r="B6" s="67" t="inlineStr">
        <is>
          <t>Month</t>
        </is>
      </c>
      <c r="C6" s="67" t="inlineStr">
        <is>
          <t>Portfolio value (input)</t>
        </is>
      </c>
      <c r="D6" s="67" t="inlineStr">
        <is>
          <t>Net invested this month</t>
        </is>
      </c>
      <c r="E6" s="67" t="inlineStr">
        <is>
          <t>Cumulative invested</t>
        </is>
      </c>
      <c r="F6" s="67" t="inlineStr">
        <is>
          <t>Monthly return</t>
        </is>
      </c>
      <c r="G6" s="67" t="inlineStr">
        <is>
          <t>Cumulative return</t>
        </is>
      </c>
      <c r="H6" s="67" t="inlineStr">
        <is>
          <t>Gain vs invested</t>
        </is>
      </c>
    </row>
    <row r="7" ht="21" customHeight="1">
      <c r="B7" s="97">
        <f>EDATE('Settings'!$C$9,0)</f>
        <v/>
      </c>
      <c r="C7" s="72" t="n">
        <v>2112.998921185093</v>
      </c>
      <c r="D7" s="82">
        <f>SUMIFS('Transactions'!$J$6:$J$1005,'Transactions'!$D$6:$D$1005,"Buy",'Transactions'!$K$6:$K$1005,B7)-SUMIFS('Transactions'!$J$6:$J$1005,'Transactions'!$D$6:$D$1005,"Sell",'Transactions'!$K$6:$K$1005,B7)</f>
        <v/>
      </c>
      <c r="E7" s="74">
        <f>D7</f>
        <v/>
      </c>
      <c r="F7" s="83">
        <f>IF(C7="","",IF(('Settings'!$C$11+D7/2)=0,0,(C7-'Settings'!$C$11-D7)/('Settings'!$C$11+D7/2)))</f>
        <v/>
      </c>
      <c r="G7" s="94">
        <f>IF(C7="",0,F7)</f>
        <v/>
      </c>
      <c r="H7" s="84">
        <f>IF(C7="","",C7-E7-'Settings'!$C$11)</f>
        <v/>
      </c>
    </row>
    <row r="8" ht="21" customHeight="1">
      <c r="B8" s="98">
        <f>EDATE('Settings'!$C$9,1)</f>
        <v/>
      </c>
      <c r="C8" s="72" t="n">
        <v>4308.679889882964</v>
      </c>
      <c r="D8" s="99">
        <f>SUMIFS('Transactions'!$J$6:$J$1005,'Transactions'!$D$6:$D$1005,"Buy",'Transactions'!$K$6:$K$1005,B8)-SUMIFS('Transactions'!$J$6:$J$1005,'Transactions'!$D$6:$D$1005,"Sell",'Transactions'!$K$6:$K$1005,B8)</f>
        <v/>
      </c>
      <c r="E8" s="100">
        <f>E7+D8</f>
        <v/>
      </c>
      <c r="F8" s="101">
        <f>IF(C8="","",IF((N(C7)+D8/2)=0,0,(C8-N(C7)-D8)/(N(C7)+D8/2)))</f>
        <v/>
      </c>
      <c r="G8" s="102">
        <f>IF(C8="",N(G7),(1+N(G7))*(1+F8)-1)</f>
        <v/>
      </c>
      <c r="H8" s="103">
        <f>IF(C8="","",C8-E8-'Settings'!$C$11)</f>
        <v/>
      </c>
    </row>
    <row r="9" ht="21" customHeight="1">
      <c r="B9" s="97">
        <f>EDATE('Settings'!$C$9,2)</f>
        <v/>
      </c>
      <c r="C9" s="72" t="n">
        <v>5875.316529123349</v>
      </c>
      <c r="D9" s="82">
        <f>SUMIFS('Transactions'!$J$6:$J$1005,'Transactions'!$D$6:$D$1005,"Buy",'Transactions'!$K$6:$K$1005,B9)-SUMIFS('Transactions'!$J$6:$J$1005,'Transactions'!$D$6:$D$1005,"Sell",'Transactions'!$K$6:$K$1005,B9)</f>
        <v/>
      </c>
      <c r="E9" s="74">
        <f>E8+D9</f>
        <v/>
      </c>
      <c r="F9" s="83">
        <f>IF(C9="","",IF((N(C8)+D9/2)=0,0,(C9-N(C8)-D9)/(N(C8)+D9/2)))</f>
        <v/>
      </c>
      <c r="G9" s="94">
        <f>IF(C9="",N(G8),(1+N(G8))*(1+F9)-1)</f>
        <v/>
      </c>
      <c r="H9" s="84">
        <f>IF(C9="","",C9-E9-'Settings'!$C$11)</f>
        <v/>
      </c>
    </row>
    <row r="10" ht="21" customHeight="1">
      <c r="B10" s="98">
        <f>EDATE('Settings'!$C$9,3)</f>
        <v/>
      </c>
      <c r="C10" s="72" t="n">
        <v>8060.987175346687</v>
      </c>
      <c r="D10" s="99">
        <f>SUMIFS('Transactions'!$J$6:$J$1005,'Transactions'!$D$6:$D$1005,"Buy",'Transactions'!$K$6:$K$1005,B10)-SUMIFS('Transactions'!$J$6:$J$1005,'Transactions'!$D$6:$D$1005,"Sell",'Transactions'!$K$6:$K$1005,B10)</f>
        <v/>
      </c>
      <c r="E10" s="100">
        <f>E9+D10</f>
        <v/>
      </c>
      <c r="F10" s="101">
        <f>IF(C10="","",IF((N(C9)+D10/2)=0,0,(C10-N(C9)-D10)/(N(C9)+D10/2)))</f>
        <v/>
      </c>
      <c r="G10" s="102">
        <f>IF(C10="",N(G9),(1+N(G9))*(1+F10)-1)</f>
        <v/>
      </c>
      <c r="H10" s="103">
        <f>IF(C10="","",C10-E10-'Settings'!$C$11)</f>
        <v/>
      </c>
    </row>
    <row r="11" ht="21" customHeight="1">
      <c r="B11" s="97">
        <f>EDATE('Settings'!$C$9,4)</f>
        <v/>
      </c>
      <c r="C11" s="72" t="n">
        <v>10587.26929614686</v>
      </c>
      <c r="D11" s="82">
        <f>SUMIFS('Transactions'!$J$6:$J$1005,'Transactions'!$D$6:$D$1005,"Buy",'Transactions'!$K$6:$K$1005,B11)-SUMIFS('Transactions'!$J$6:$J$1005,'Transactions'!$D$6:$D$1005,"Sell",'Transactions'!$K$6:$K$1005,B11)</f>
        <v/>
      </c>
      <c r="E11" s="74">
        <f>E10+D11</f>
        <v/>
      </c>
      <c r="F11" s="83">
        <f>IF(C11="","",IF((N(C10)+D11/2)=0,0,(C11-N(C10)-D11)/(N(C10)+D11/2)))</f>
        <v/>
      </c>
      <c r="G11" s="94">
        <f>IF(C11="",N(G10),(1+N(G10))*(1+F11)-1)</f>
        <v/>
      </c>
      <c r="H11" s="84">
        <f>IF(C11="","",C11-E11-'Settings'!$C$11)</f>
        <v/>
      </c>
    </row>
    <row r="12" ht="21" customHeight="1">
      <c r="B12" s="98">
        <f>EDATE('Settings'!$C$9,5)</f>
        <v/>
      </c>
      <c r="C12" s="72" t="n">
        <v>12879.55565911101</v>
      </c>
      <c r="D12" s="99">
        <f>SUMIFS('Transactions'!$J$6:$J$1005,'Transactions'!$D$6:$D$1005,"Buy",'Transactions'!$K$6:$K$1005,B12)-SUMIFS('Transactions'!$J$6:$J$1005,'Transactions'!$D$6:$D$1005,"Sell",'Transactions'!$K$6:$K$1005,B12)</f>
        <v/>
      </c>
      <c r="E12" s="100">
        <f>E11+D12</f>
        <v/>
      </c>
      <c r="F12" s="101">
        <f>IF(C12="","",IF((N(C11)+D12/2)=0,0,(C12-N(C11)-D12)/(N(C11)+D12/2)))</f>
        <v/>
      </c>
      <c r="G12" s="102">
        <f>IF(C12="",N(G11),(1+N(G11))*(1+F12)-1)</f>
        <v/>
      </c>
      <c r="H12" s="103">
        <f>IF(C12="","",C12-E12-'Settings'!$C$11)</f>
        <v/>
      </c>
    </row>
    <row r="13" ht="21" customHeight="1">
      <c r="B13" s="97">
        <f>EDATE('Settings'!$C$9,6)</f>
        <v/>
      </c>
      <c r="C13" s="72" t="n">
        <v>14314.76957115685</v>
      </c>
      <c r="D13" s="82">
        <f>SUMIFS('Transactions'!$J$6:$J$1005,'Transactions'!$D$6:$D$1005,"Buy",'Transactions'!$K$6:$K$1005,B13)-SUMIFS('Transactions'!$J$6:$J$1005,'Transactions'!$D$6:$D$1005,"Sell",'Transactions'!$K$6:$K$1005,B13)</f>
        <v/>
      </c>
      <c r="E13" s="74">
        <f>E12+D13</f>
        <v/>
      </c>
      <c r="F13" s="83">
        <f>IF(C13="","",IF((N(C12)+D13/2)=0,0,(C13-N(C12)-D13)/(N(C12)+D13/2)))</f>
        <v/>
      </c>
      <c r="G13" s="94">
        <f>IF(C13="",N(G12),(1+N(G12))*(1+F13)-1)</f>
        <v/>
      </c>
      <c r="H13" s="84">
        <f>IF(C13="","",C13-E13-'Settings'!$C$11)</f>
        <v/>
      </c>
    </row>
    <row r="14" ht="21" customHeight="1">
      <c r="B14" s="98">
        <f>EDATE('Settings'!$C$9,7)</f>
        <v/>
      </c>
      <c r="C14" s="72" t="n">
        <v>16865.88917853738</v>
      </c>
      <c r="D14" s="99">
        <f>SUMIFS('Transactions'!$J$6:$J$1005,'Transactions'!$D$6:$D$1005,"Buy",'Transactions'!$K$6:$K$1005,B14)-SUMIFS('Transactions'!$J$6:$J$1005,'Transactions'!$D$6:$D$1005,"Sell",'Transactions'!$K$6:$K$1005,B14)</f>
        <v/>
      </c>
      <c r="E14" s="100">
        <f>E13+D14</f>
        <v/>
      </c>
      <c r="F14" s="101">
        <f>IF(C14="","",IF((N(C13)+D14/2)=0,0,(C14-N(C13)-D14)/(N(C13)+D14/2)))</f>
        <v/>
      </c>
      <c r="G14" s="102">
        <f>IF(C14="",N(G13),(1+N(G13))*(1+F14)-1)</f>
        <v/>
      </c>
      <c r="H14" s="103">
        <f>IF(C14="","",C14-E14-'Settings'!$C$11)</f>
        <v/>
      </c>
    </row>
    <row r="15" ht="21" customHeight="1">
      <c r="B15" s="97">
        <f>EDATE('Settings'!$C$9,8)</f>
        <v/>
      </c>
      <c r="C15" s="72" t="n">
        <v>18949.01241061774</v>
      </c>
      <c r="D15" s="82">
        <f>SUMIFS('Transactions'!$J$6:$J$1005,'Transactions'!$D$6:$D$1005,"Buy",'Transactions'!$K$6:$K$1005,B15)-SUMIFS('Transactions'!$J$6:$J$1005,'Transactions'!$D$6:$D$1005,"Sell",'Transactions'!$K$6:$K$1005,B15)</f>
        <v/>
      </c>
      <c r="E15" s="74">
        <f>E14+D15</f>
        <v/>
      </c>
      <c r="F15" s="83">
        <f>IF(C15="","",IF((N(C14)+D15/2)=0,0,(C15-N(C14)-D15)/(N(C14)+D15/2)))</f>
        <v/>
      </c>
      <c r="G15" s="94">
        <f>IF(C15="",N(G14),(1+N(G14))*(1+F15)-1)</f>
        <v/>
      </c>
      <c r="H15" s="84">
        <f>IF(C15="","",C15-E15-'Settings'!$C$11)</f>
        <v/>
      </c>
    </row>
    <row r="16" ht="21" customHeight="1">
      <c r="B16" s="98">
        <f>EDATE('Settings'!$C$9,9)</f>
        <v/>
      </c>
      <c r="C16" s="72" t="n">
        <v>20978.77192755056</v>
      </c>
      <c r="D16" s="99">
        <f>SUMIFS('Transactions'!$J$6:$J$1005,'Transactions'!$D$6:$D$1005,"Buy",'Transactions'!$K$6:$K$1005,B16)-SUMIFS('Transactions'!$J$6:$J$1005,'Transactions'!$D$6:$D$1005,"Sell",'Transactions'!$K$6:$K$1005,B16)</f>
        <v/>
      </c>
      <c r="E16" s="100">
        <f>E15+D16</f>
        <v/>
      </c>
      <c r="F16" s="101">
        <f>IF(C16="","",IF((N(C15)+D16/2)=0,0,(C16-N(C15)-D16)/(N(C15)+D16/2)))</f>
        <v/>
      </c>
      <c r="G16" s="102">
        <f>IF(C16="",N(G15),(1+N(G15))*(1+F16)-1)</f>
        <v/>
      </c>
      <c r="H16" s="103">
        <f>IF(C16="","",C16-E16-'Settings'!$C$11)</f>
        <v/>
      </c>
    </row>
    <row r="17" ht="21" customHeight="1">
      <c r="B17" s="97">
        <f>EDATE('Settings'!$C$9,10)</f>
        <v/>
      </c>
      <c r="C17" s="72" t="n">
        <v>22838.86308279507</v>
      </c>
      <c r="D17" s="82">
        <f>SUMIFS('Transactions'!$J$6:$J$1005,'Transactions'!$D$6:$D$1005,"Buy",'Transactions'!$K$6:$K$1005,B17)-SUMIFS('Transactions'!$J$6:$J$1005,'Transactions'!$D$6:$D$1005,"Sell",'Transactions'!$K$6:$K$1005,B17)</f>
        <v/>
      </c>
      <c r="E17" s="74">
        <f>E16+D17</f>
        <v/>
      </c>
      <c r="F17" s="83">
        <f>IF(C17="","",IF((N(C16)+D17/2)=0,0,(C17-N(C16)-D17)/(N(C16)+D17/2)))</f>
        <v/>
      </c>
      <c r="G17" s="94">
        <f>IF(C17="",N(G16),(1+N(G16))*(1+F17)-1)</f>
        <v/>
      </c>
      <c r="H17" s="84">
        <f>IF(C17="","",C17-E17-'Settings'!$C$11)</f>
        <v/>
      </c>
    </row>
    <row r="18" ht="21" customHeight="1">
      <c r="B18" s="98">
        <f>EDATE('Settings'!$C$9,11)</f>
        <v/>
      </c>
      <c r="C18" s="72" t="n">
        <v>25655.39089958198</v>
      </c>
      <c r="D18" s="99">
        <f>SUMIFS('Transactions'!$J$6:$J$1005,'Transactions'!$D$6:$D$1005,"Buy",'Transactions'!$K$6:$K$1005,B18)-SUMIFS('Transactions'!$J$6:$J$1005,'Transactions'!$D$6:$D$1005,"Sell",'Transactions'!$K$6:$K$1005,B18)</f>
        <v/>
      </c>
      <c r="E18" s="100">
        <f>E17+D18</f>
        <v/>
      </c>
      <c r="F18" s="101">
        <f>IF(C18="","",IF((N(C17)+D18/2)=0,0,(C18-N(C17)-D18)/(N(C17)+D18/2)))</f>
        <v/>
      </c>
      <c r="G18" s="102">
        <f>IF(C18="",N(G17),(1+N(G17))*(1+F18)-1)</f>
        <v/>
      </c>
      <c r="H18" s="103">
        <f>IF(C18="","",C18-E18-'Settings'!$C$11)</f>
        <v/>
      </c>
    </row>
    <row r="19" ht="21" customHeight="1">
      <c r="B19" s="97">
        <f>EDATE('Settings'!$C$9,12)</f>
        <v/>
      </c>
      <c r="C19" s="72" t="n">
        <v>28707.26372614014</v>
      </c>
      <c r="D19" s="82">
        <f>SUMIFS('Transactions'!$J$6:$J$1005,'Transactions'!$D$6:$D$1005,"Buy",'Transactions'!$K$6:$K$1005,B19)-SUMIFS('Transactions'!$J$6:$J$1005,'Transactions'!$D$6:$D$1005,"Sell",'Transactions'!$K$6:$K$1005,B19)</f>
        <v/>
      </c>
      <c r="E19" s="74">
        <f>E18+D19</f>
        <v/>
      </c>
      <c r="F19" s="83">
        <f>IF(C19="","",IF((N(C18)+D19/2)=0,0,(C19-N(C18)-D19)/(N(C18)+D19/2)))</f>
        <v/>
      </c>
      <c r="G19" s="94">
        <f>IF(C19="",N(G18),(1+N(G18))*(1+F19)-1)</f>
        <v/>
      </c>
      <c r="H19" s="84">
        <f>IF(C19="","",C19-E19-'Settings'!$C$11)</f>
        <v/>
      </c>
    </row>
    <row r="20" ht="21" customHeight="1">
      <c r="B20" s="98">
        <f>EDATE('Settings'!$C$9,13)</f>
        <v/>
      </c>
      <c r="C20" s="72" t="n">
        <v>31036.92338096011</v>
      </c>
      <c r="D20" s="99">
        <f>SUMIFS('Transactions'!$J$6:$J$1005,'Transactions'!$D$6:$D$1005,"Buy",'Transactions'!$K$6:$K$1005,B20)-SUMIFS('Transactions'!$J$6:$J$1005,'Transactions'!$D$6:$D$1005,"Sell",'Transactions'!$K$6:$K$1005,B20)</f>
        <v/>
      </c>
      <c r="E20" s="100">
        <f>E19+D20</f>
        <v/>
      </c>
      <c r="F20" s="101">
        <f>IF(C20="","",IF((N(C19)+D20/2)=0,0,(C20-N(C19)-D20)/(N(C19)+D20/2)))</f>
        <v/>
      </c>
      <c r="G20" s="102">
        <f>IF(C20="",N(G19),(1+N(G19))*(1+F20)-1)</f>
        <v/>
      </c>
      <c r="H20" s="103">
        <f>IF(C20="","",C20-E20-'Settings'!$C$11)</f>
        <v/>
      </c>
    </row>
    <row r="21" ht="21" customHeight="1">
      <c r="B21" s="97">
        <f>EDATE('Settings'!$C$9,14)</f>
        <v/>
      </c>
      <c r="C21" s="72" t="n">
        <v>35937.2713855472</v>
      </c>
      <c r="D21" s="82">
        <f>SUMIFS('Transactions'!$J$6:$J$1005,'Transactions'!$D$6:$D$1005,"Buy",'Transactions'!$K$6:$K$1005,B21)-SUMIFS('Transactions'!$J$6:$J$1005,'Transactions'!$D$6:$D$1005,"Sell",'Transactions'!$K$6:$K$1005,B21)</f>
        <v/>
      </c>
      <c r="E21" s="74">
        <f>E20+D21</f>
        <v/>
      </c>
      <c r="F21" s="83">
        <f>IF(C21="","",IF((N(C20)+D21/2)=0,0,(C21-N(C20)-D21)/(N(C20)+D21/2)))</f>
        <v/>
      </c>
      <c r="G21" s="94">
        <f>IF(C21="",N(G20),(1+N(G20))*(1+F21)-1)</f>
        <v/>
      </c>
      <c r="H21" s="84">
        <f>IF(C21="","",C21-E21-'Settings'!$C$11)</f>
        <v/>
      </c>
    </row>
    <row r="22" ht="21" customHeight="1">
      <c r="B22" s="98">
        <f>EDATE('Settings'!$C$9,15)</f>
        <v/>
      </c>
      <c r="C22" s="72" t="n">
        <v>38455.69104200946</v>
      </c>
      <c r="D22" s="99">
        <f>SUMIFS('Transactions'!$J$6:$J$1005,'Transactions'!$D$6:$D$1005,"Buy",'Transactions'!$K$6:$K$1005,B22)-SUMIFS('Transactions'!$J$6:$J$1005,'Transactions'!$D$6:$D$1005,"Sell",'Transactions'!$K$6:$K$1005,B22)</f>
        <v/>
      </c>
      <c r="E22" s="100">
        <f>E21+D22</f>
        <v/>
      </c>
      <c r="F22" s="101">
        <f>IF(C22="","",IF((N(C21)+D22/2)=0,0,(C22-N(C21)-D22)/(N(C21)+D22/2)))</f>
        <v/>
      </c>
      <c r="G22" s="102">
        <f>IF(C22="",N(G21),(1+N(G21))*(1+F22)-1)</f>
        <v/>
      </c>
      <c r="H22" s="103">
        <f>IF(C22="","",C22-E22-'Settings'!$C$11)</f>
        <v/>
      </c>
    </row>
    <row r="23" ht="21" customHeight="1">
      <c r="B23" s="97">
        <f>EDATE('Settings'!$C$9,16)</f>
        <v/>
      </c>
      <c r="C23" s="72" t="n">
        <v>39606.47490018263</v>
      </c>
      <c r="D23" s="82">
        <f>SUMIFS('Transactions'!$J$6:$J$1005,'Transactions'!$D$6:$D$1005,"Buy",'Transactions'!$K$6:$K$1005,B23)-SUMIFS('Transactions'!$J$6:$J$1005,'Transactions'!$D$6:$D$1005,"Sell",'Transactions'!$K$6:$K$1005,B23)</f>
        <v/>
      </c>
      <c r="E23" s="74">
        <f>E22+D23</f>
        <v/>
      </c>
      <c r="F23" s="83">
        <f>IF(C23="","",IF((N(C22)+D23/2)=0,0,(C23-N(C22)-D23)/(N(C22)+D23/2)))</f>
        <v/>
      </c>
      <c r="G23" s="94">
        <f>IF(C23="",N(G22),(1+N(G22))*(1+F23)-1)</f>
        <v/>
      </c>
      <c r="H23" s="84">
        <f>IF(C23="","",C23-E23-'Settings'!$C$11)</f>
        <v/>
      </c>
    </row>
    <row r="24" ht="21" customHeight="1">
      <c r="B24" s="98">
        <f>EDATE('Settings'!$C$9,17)</f>
        <v/>
      </c>
      <c r="C24" s="72" t="n">
        <v>42731.30293255745</v>
      </c>
      <c r="D24" s="99">
        <f>SUMIFS('Transactions'!$J$6:$J$1005,'Transactions'!$D$6:$D$1005,"Buy",'Transactions'!$K$6:$K$1005,B24)-SUMIFS('Transactions'!$J$6:$J$1005,'Transactions'!$D$6:$D$1005,"Sell",'Transactions'!$K$6:$K$1005,B24)</f>
        <v/>
      </c>
      <c r="E24" s="100">
        <f>E23+D24</f>
        <v/>
      </c>
      <c r="F24" s="101">
        <f>IF(C24="","",IF((N(C23)+D24/2)=0,0,(C24-N(C23)-D24)/(N(C23)+D24/2)))</f>
        <v/>
      </c>
      <c r="G24" s="102">
        <f>IF(C24="",N(G23),(1+N(G23))*(1+F24)-1)</f>
        <v/>
      </c>
      <c r="H24" s="103">
        <f>IF(C24="","",C24-E24-'Settings'!$C$11)</f>
        <v/>
      </c>
    </row>
    <row r="25" ht="21" customHeight="1">
      <c r="B25" s="97">
        <f>EDATE('Settings'!$C$9,18)</f>
        <v/>
      </c>
      <c r="C25" s="72" t="n">
        <v>46340.57672227483</v>
      </c>
      <c r="D25" s="82">
        <f>SUMIFS('Transactions'!$J$6:$J$1005,'Transactions'!$D$6:$D$1005,"Buy",'Transactions'!$K$6:$K$1005,B25)-SUMIFS('Transactions'!$J$6:$J$1005,'Transactions'!$D$6:$D$1005,"Sell",'Transactions'!$K$6:$K$1005,B25)</f>
        <v/>
      </c>
      <c r="E25" s="74">
        <f>E24+D25</f>
        <v/>
      </c>
      <c r="F25" s="83">
        <f>IF(C25="","",IF((N(C24)+D25/2)=0,0,(C25-N(C24)-D25)/(N(C24)+D25/2)))</f>
        <v/>
      </c>
      <c r="G25" s="94">
        <f>IF(C25="",N(G24),(1+N(G24))*(1+F25)-1)</f>
        <v/>
      </c>
      <c r="H25" s="84">
        <f>IF(C25="","",C25-E25-'Settings'!$C$11)</f>
        <v/>
      </c>
    </row>
    <row r="26" ht="21" customHeight="1">
      <c r="B26" s="98">
        <f>EDATE('Settings'!$C$9,19)</f>
        <v/>
      </c>
      <c r="C26" s="72" t="n">
        <v>49653.07289362772</v>
      </c>
      <c r="D26" s="99">
        <f>SUMIFS('Transactions'!$J$6:$J$1005,'Transactions'!$D$6:$D$1005,"Buy",'Transactions'!$K$6:$K$1005,B26)-SUMIFS('Transactions'!$J$6:$J$1005,'Transactions'!$D$6:$D$1005,"Sell",'Transactions'!$K$6:$K$1005,B26)</f>
        <v/>
      </c>
      <c r="E26" s="100">
        <f>E25+D26</f>
        <v/>
      </c>
      <c r="F26" s="101">
        <f>IF(C26="","",IF((N(C25)+D26/2)=0,0,(C26-N(C25)-D26)/(N(C25)+D26/2)))</f>
        <v/>
      </c>
      <c r="G26" s="102">
        <f>IF(C26="",N(G25),(1+N(G25))*(1+F26)-1)</f>
        <v/>
      </c>
      <c r="H26" s="103">
        <f>IF(C26="","",C26-E26-'Settings'!$C$11)</f>
        <v/>
      </c>
    </row>
    <row r="27" ht="21" customHeight="1">
      <c r="B27" s="97">
        <f>EDATE('Settings'!$C$9,20)</f>
        <v/>
      </c>
      <c r="C27" s="72" t="n">
        <v>53610.62612622237</v>
      </c>
      <c r="D27" s="82">
        <f>SUMIFS('Transactions'!$J$6:$J$1005,'Transactions'!$D$6:$D$1005,"Buy",'Transactions'!$K$6:$K$1005,B27)-SUMIFS('Transactions'!$J$6:$J$1005,'Transactions'!$D$6:$D$1005,"Sell",'Transactions'!$K$6:$K$1005,B27)</f>
        <v/>
      </c>
      <c r="E27" s="74">
        <f>E26+D27</f>
        <v/>
      </c>
      <c r="F27" s="83">
        <f>IF(C27="","",IF((N(C26)+D27/2)=0,0,(C27-N(C26)-D27)/(N(C26)+D27/2)))</f>
        <v/>
      </c>
      <c r="G27" s="94">
        <f>IF(C27="",N(G26),(1+N(G26))*(1+F27)-1)</f>
        <v/>
      </c>
      <c r="H27" s="84">
        <f>IF(C27="","",C27-E27-'Settings'!$C$11)</f>
        <v/>
      </c>
    </row>
    <row r="28" ht="21" customHeight="1">
      <c r="B28" s="98">
        <f>EDATE('Settings'!$C$9,21)</f>
        <v/>
      </c>
      <c r="C28" s="72" t="n">
        <v>55801.99434004811</v>
      </c>
      <c r="D28" s="99">
        <f>SUMIFS('Transactions'!$J$6:$J$1005,'Transactions'!$D$6:$D$1005,"Buy",'Transactions'!$K$6:$K$1005,B28)-SUMIFS('Transactions'!$J$6:$J$1005,'Transactions'!$D$6:$D$1005,"Sell",'Transactions'!$K$6:$K$1005,B28)</f>
        <v/>
      </c>
      <c r="E28" s="100">
        <f>E27+D28</f>
        <v/>
      </c>
      <c r="F28" s="101">
        <f>IF(C28="","",IF((N(C27)+D28/2)=0,0,(C28-N(C27)-D28)/(N(C27)+D28/2)))</f>
        <v/>
      </c>
      <c r="G28" s="102">
        <f>IF(C28="",N(G27),(1+N(G27))*(1+F28)-1)</f>
        <v/>
      </c>
      <c r="H28" s="103">
        <f>IF(C28="","",C28-E28-'Settings'!$C$11)</f>
        <v/>
      </c>
    </row>
    <row r="29" ht="21" customHeight="1">
      <c r="B29" s="97">
        <f>EDATE('Settings'!$C$9,22)</f>
        <v/>
      </c>
      <c r="C29" s="72" t="n"/>
      <c r="D29" s="82">
        <f>SUMIFS('Transactions'!$J$6:$J$1005,'Transactions'!$D$6:$D$1005,"Buy",'Transactions'!$K$6:$K$1005,B29)-SUMIFS('Transactions'!$J$6:$J$1005,'Transactions'!$D$6:$D$1005,"Sell",'Transactions'!$K$6:$K$1005,B29)</f>
        <v/>
      </c>
      <c r="E29" s="74">
        <f>E28+D29</f>
        <v/>
      </c>
      <c r="F29" s="83">
        <f>IF(C29="","",IF((N(C28)+D29/2)=0,0,(C29-N(C28)-D29)/(N(C28)+D29/2)))</f>
        <v/>
      </c>
      <c r="G29" s="94">
        <f>IF(C29="",N(G28),(1+N(G28))*(1+F29)-1)</f>
        <v/>
      </c>
      <c r="H29" s="84">
        <f>IF(C29="","",C29-E29-'Settings'!$C$11)</f>
        <v/>
      </c>
    </row>
    <row r="30" ht="21" customHeight="1">
      <c r="B30" s="98">
        <f>EDATE('Settings'!$C$9,23)</f>
        <v/>
      </c>
      <c r="C30" s="72" t="n"/>
      <c r="D30" s="99">
        <f>SUMIFS('Transactions'!$J$6:$J$1005,'Transactions'!$D$6:$D$1005,"Buy",'Transactions'!$K$6:$K$1005,B30)-SUMIFS('Transactions'!$J$6:$J$1005,'Transactions'!$D$6:$D$1005,"Sell",'Transactions'!$K$6:$K$1005,B30)</f>
        <v/>
      </c>
      <c r="E30" s="100">
        <f>E29+D30</f>
        <v/>
      </c>
      <c r="F30" s="101">
        <f>IF(C30="","",IF((N(C29)+D30/2)=0,0,(C30-N(C29)-D30)/(N(C29)+D30/2)))</f>
        <v/>
      </c>
      <c r="G30" s="102">
        <f>IF(C30="",N(G29),(1+N(G29))*(1+F30)-1)</f>
        <v/>
      </c>
      <c r="H30" s="103">
        <f>IF(C30="","",C30-E30-'Settings'!$C$11)</f>
        <v/>
      </c>
    </row>
    <row r="31" ht="21" customHeight="1">
      <c r="B31" s="97">
        <f>EDATE('Settings'!$C$9,24)</f>
        <v/>
      </c>
      <c r="C31" s="72" t="n"/>
      <c r="D31" s="82">
        <f>SUMIFS('Transactions'!$J$6:$J$1005,'Transactions'!$D$6:$D$1005,"Buy",'Transactions'!$K$6:$K$1005,B31)-SUMIFS('Transactions'!$J$6:$J$1005,'Transactions'!$D$6:$D$1005,"Sell",'Transactions'!$K$6:$K$1005,B31)</f>
        <v/>
      </c>
      <c r="E31" s="74">
        <f>E30+D31</f>
        <v/>
      </c>
      <c r="F31" s="83">
        <f>IF(C31="","",IF((N(C30)+D31/2)=0,0,(C31-N(C30)-D31)/(N(C30)+D31/2)))</f>
        <v/>
      </c>
      <c r="G31" s="94">
        <f>IF(C31="",N(G30),(1+N(G30))*(1+F31)-1)</f>
        <v/>
      </c>
      <c r="H31" s="84">
        <f>IF(C31="","",C31-E31-'Settings'!$C$11)</f>
        <v/>
      </c>
    </row>
    <row r="32" ht="21" customHeight="1">
      <c r="B32" s="98">
        <f>EDATE('Settings'!$C$9,25)</f>
        <v/>
      </c>
      <c r="C32" s="72" t="n"/>
      <c r="D32" s="99">
        <f>SUMIFS('Transactions'!$J$6:$J$1005,'Transactions'!$D$6:$D$1005,"Buy",'Transactions'!$K$6:$K$1005,B32)-SUMIFS('Transactions'!$J$6:$J$1005,'Transactions'!$D$6:$D$1005,"Sell",'Transactions'!$K$6:$K$1005,B32)</f>
        <v/>
      </c>
      <c r="E32" s="100">
        <f>E31+D32</f>
        <v/>
      </c>
      <c r="F32" s="101">
        <f>IF(C32="","",IF((N(C31)+D32/2)=0,0,(C32-N(C31)-D32)/(N(C31)+D32/2)))</f>
        <v/>
      </c>
      <c r="G32" s="102">
        <f>IF(C32="",N(G31),(1+N(G31))*(1+F32)-1)</f>
        <v/>
      </c>
      <c r="H32" s="103">
        <f>IF(C32="","",C32-E32-'Settings'!$C$11)</f>
        <v/>
      </c>
    </row>
    <row r="33" ht="21" customHeight="1">
      <c r="B33" s="97">
        <f>EDATE('Settings'!$C$9,26)</f>
        <v/>
      </c>
      <c r="C33" s="72" t="n"/>
      <c r="D33" s="82">
        <f>SUMIFS('Transactions'!$J$6:$J$1005,'Transactions'!$D$6:$D$1005,"Buy",'Transactions'!$K$6:$K$1005,B33)-SUMIFS('Transactions'!$J$6:$J$1005,'Transactions'!$D$6:$D$1005,"Sell",'Transactions'!$K$6:$K$1005,B33)</f>
        <v/>
      </c>
      <c r="E33" s="74">
        <f>E32+D33</f>
        <v/>
      </c>
      <c r="F33" s="83">
        <f>IF(C33="","",IF((N(C32)+D33/2)=0,0,(C33-N(C32)-D33)/(N(C32)+D33/2)))</f>
        <v/>
      </c>
      <c r="G33" s="94">
        <f>IF(C33="",N(G32),(1+N(G32))*(1+F33)-1)</f>
        <v/>
      </c>
      <c r="H33" s="84">
        <f>IF(C33="","",C33-E33-'Settings'!$C$11)</f>
        <v/>
      </c>
    </row>
    <row r="34" ht="21" customHeight="1">
      <c r="B34" s="98">
        <f>EDATE('Settings'!$C$9,27)</f>
        <v/>
      </c>
      <c r="C34" s="72" t="n"/>
      <c r="D34" s="99">
        <f>SUMIFS('Transactions'!$J$6:$J$1005,'Transactions'!$D$6:$D$1005,"Buy",'Transactions'!$K$6:$K$1005,B34)-SUMIFS('Transactions'!$J$6:$J$1005,'Transactions'!$D$6:$D$1005,"Sell",'Transactions'!$K$6:$K$1005,B34)</f>
        <v/>
      </c>
      <c r="E34" s="100">
        <f>E33+D34</f>
        <v/>
      </c>
      <c r="F34" s="101">
        <f>IF(C34="","",IF((N(C33)+D34/2)=0,0,(C34-N(C33)-D34)/(N(C33)+D34/2)))</f>
        <v/>
      </c>
      <c r="G34" s="102">
        <f>IF(C34="",N(G33),(1+N(G33))*(1+F34)-1)</f>
        <v/>
      </c>
      <c r="H34" s="103">
        <f>IF(C34="","",C34-E34-'Settings'!$C$11)</f>
        <v/>
      </c>
    </row>
    <row r="35" ht="21" customHeight="1">
      <c r="B35" s="97">
        <f>EDATE('Settings'!$C$9,28)</f>
        <v/>
      </c>
      <c r="C35" s="72" t="n"/>
      <c r="D35" s="82">
        <f>SUMIFS('Transactions'!$J$6:$J$1005,'Transactions'!$D$6:$D$1005,"Buy",'Transactions'!$K$6:$K$1005,B35)-SUMIFS('Transactions'!$J$6:$J$1005,'Transactions'!$D$6:$D$1005,"Sell",'Transactions'!$K$6:$K$1005,B35)</f>
        <v/>
      </c>
      <c r="E35" s="74">
        <f>E34+D35</f>
        <v/>
      </c>
      <c r="F35" s="83">
        <f>IF(C35="","",IF((N(C34)+D35/2)=0,0,(C35-N(C34)-D35)/(N(C34)+D35/2)))</f>
        <v/>
      </c>
      <c r="G35" s="94">
        <f>IF(C35="",N(G34),(1+N(G34))*(1+F35)-1)</f>
        <v/>
      </c>
      <c r="H35" s="84">
        <f>IF(C35="","",C35-E35-'Settings'!$C$11)</f>
        <v/>
      </c>
    </row>
    <row r="36" ht="21" customHeight="1">
      <c r="B36" s="98">
        <f>EDATE('Settings'!$C$9,29)</f>
        <v/>
      </c>
      <c r="C36" s="72" t="n"/>
      <c r="D36" s="99">
        <f>SUMIFS('Transactions'!$J$6:$J$1005,'Transactions'!$D$6:$D$1005,"Buy",'Transactions'!$K$6:$K$1005,B36)-SUMIFS('Transactions'!$J$6:$J$1005,'Transactions'!$D$6:$D$1005,"Sell",'Transactions'!$K$6:$K$1005,B36)</f>
        <v/>
      </c>
      <c r="E36" s="100">
        <f>E35+D36</f>
        <v/>
      </c>
      <c r="F36" s="101">
        <f>IF(C36="","",IF((N(C35)+D36/2)=0,0,(C36-N(C35)-D36)/(N(C35)+D36/2)))</f>
        <v/>
      </c>
      <c r="G36" s="102">
        <f>IF(C36="",N(G35),(1+N(G35))*(1+F36)-1)</f>
        <v/>
      </c>
      <c r="H36" s="103">
        <f>IF(C36="","",C36-E36-'Settings'!$C$11)</f>
        <v/>
      </c>
    </row>
    <row r="37" ht="21" customHeight="1">
      <c r="B37" s="97">
        <f>EDATE('Settings'!$C$9,30)</f>
        <v/>
      </c>
      <c r="C37" s="72" t="n"/>
      <c r="D37" s="82">
        <f>SUMIFS('Transactions'!$J$6:$J$1005,'Transactions'!$D$6:$D$1005,"Buy",'Transactions'!$K$6:$K$1005,B37)-SUMIFS('Transactions'!$J$6:$J$1005,'Transactions'!$D$6:$D$1005,"Sell",'Transactions'!$K$6:$K$1005,B37)</f>
        <v/>
      </c>
      <c r="E37" s="74">
        <f>E36+D37</f>
        <v/>
      </c>
      <c r="F37" s="83">
        <f>IF(C37="","",IF((N(C36)+D37/2)=0,0,(C37-N(C36)-D37)/(N(C36)+D37/2)))</f>
        <v/>
      </c>
      <c r="G37" s="94">
        <f>IF(C37="",N(G36),(1+N(G36))*(1+F37)-1)</f>
        <v/>
      </c>
      <c r="H37" s="84">
        <f>IF(C37="","",C37-E37-'Settings'!$C$11)</f>
        <v/>
      </c>
    </row>
    <row r="38" ht="21" customHeight="1">
      <c r="B38" s="98">
        <f>EDATE('Settings'!$C$9,31)</f>
        <v/>
      </c>
      <c r="C38" s="72" t="n"/>
      <c r="D38" s="99">
        <f>SUMIFS('Transactions'!$J$6:$J$1005,'Transactions'!$D$6:$D$1005,"Buy",'Transactions'!$K$6:$K$1005,B38)-SUMIFS('Transactions'!$J$6:$J$1005,'Transactions'!$D$6:$D$1005,"Sell",'Transactions'!$K$6:$K$1005,B38)</f>
        <v/>
      </c>
      <c r="E38" s="100">
        <f>E37+D38</f>
        <v/>
      </c>
      <c r="F38" s="101">
        <f>IF(C38="","",IF((N(C37)+D38/2)=0,0,(C38-N(C37)-D38)/(N(C37)+D38/2)))</f>
        <v/>
      </c>
      <c r="G38" s="102">
        <f>IF(C38="",N(G37),(1+N(G37))*(1+F38)-1)</f>
        <v/>
      </c>
      <c r="H38" s="103">
        <f>IF(C38="","",C38-E38-'Settings'!$C$11)</f>
        <v/>
      </c>
    </row>
    <row r="39" ht="21" customHeight="1">
      <c r="B39" s="97">
        <f>EDATE('Settings'!$C$9,32)</f>
        <v/>
      </c>
      <c r="C39" s="72" t="n"/>
      <c r="D39" s="82">
        <f>SUMIFS('Transactions'!$J$6:$J$1005,'Transactions'!$D$6:$D$1005,"Buy",'Transactions'!$K$6:$K$1005,B39)-SUMIFS('Transactions'!$J$6:$J$1005,'Transactions'!$D$6:$D$1005,"Sell",'Transactions'!$K$6:$K$1005,B39)</f>
        <v/>
      </c>
      <c r="E39" s="74">
        <f>E38+D39</f>
        <v/>
      </c>
      <c r="F39" s="83">
        <f>IF(C39="","",IF((N(C38)+D39/2)=0,0,(C39-N(C38)-D39)/(N(C38)+D39/2)))</f>
        <v/>
      </c>
      <c r="G39" s="94">
        <f>IF(C39="",N(G38),(1+N(G38))*(1+F39)-1)</f>
        <v/>
      </c>
      <c r="H39" s="84">
        <f>IF(C39="","",C39-E39-'Settings'!$C$11)</f>
        <v/>
      </c>
    </row>
    <row r="40" ht="21" customHeight="1">
      <c r="B40" s="98">
        <f>EDATE('Settings'!$C$9,33)</f>
        <v/>
      </c>
      <c r="C40" s="72" t="n"/>
      <c r="D40" s="99">
        <f>SUMIFS('Transactions'!$J$6:$J$1005,'Transactions'!$D$6:$D$1005,"Buy",'Transactions'!$K$6:$K$1005,B40)-SUMIFS('Transactions'!$J$6:$J$1005,'Transactions'!$D$6:$D$1005,"Sell",'Transactions'!$K$6:$K$1005,B40)</f>
        <v/>
      </c>
      <c r="E40" s="100">
        <f>E39+D40</f>
        <v/>
      </c>
      <c r="F40" s="101">
        <f>IF(C40="","",IF((N(C39)+D40/2)=0,0,(C40-N(C39)-D40)/(N(C39)+D40/2)))</f>
        <v/>
      </c>
      <c r="G40" s="102">
        <f>IF(C40="",N(G39),(1+N(G39))*(1+F40)-1)</f>
        <v/>
      </c>
      <c r="H40" s="103">
        <f>IF(C40="","",C40-E40-'Settings'!$C$11)</f>
        <v/>
      </c>
    </row>
    <row r="41" ht="21" customHeight="1">
      <c r="B41" s="97">
        <f>EDATE('Settings'!$C$9,34)</f>
        <v/>
      </c>
      <c r="C41" s="72" t="n"/>
      <c r="D41" s="82">
        <f>SUMIFS('Transactions'!$J$6:$J$1005,'Transactions'!$D$6:$D$1005,"Buy",'Transactions'!$K$6:$K$1005,B41)-SUMIFS('Transactions'!$J$6:$J$1005,'Transactions'!$D$6:$D$1005,"Sell",'Transactions'!$K$6:$K$1005,B41)</f>
        <v/>
      </c>
      <c r="E41" s="74">
        <f>E40+D41</f>
        <v/>
      </c>
      <c r="F41" s="83">
        <f>IF(C41="","",IF((N(C40)+D41/2)=0,0,(C41-N(C40)-D41)/(N(C40)+D41/2)))</f>
        <v/>
      </c>
      <c r="G41" s="94">
        <f>IF(C41="",N(G40),(1+N(G40))*(1+F41)-1)</f>
        <v/>
      </c>
      <c r="H41" s="84">
        <f>IF(C41="","",C41-E41-'Settings'!$C$11)</f>
        <v/>
      </c>
    </row>
    <row r="42" ht="21" customHeight="1">
      <c r="B42" s="98">
        <f>EDATE('Settings'!$C$9,35)</f>
        <v/>
      </c>
      <c r="C42" s="72" t="n"/>
      <c r="D42" s="99">
        <f>SUMIFS('Transactions'!$J$6:$J$1005,'Transactions'!$D$6:$D$1005,"Buy",'Transactions'!$K$6:$K$1005,B42)-SUMIFS('Transactions'!$J$6:$J$1005,'Transactions'!$D$6:$D$1005,"Sell",'Transactions'!$K$6:$K$1005,B42)</f>
        <v/>
      </c>
      <c r="E42" s="100">
        <f>E41+D42</f>
        <v/>
      </c>
      <c r="F42" s="101">
        <f>IF(C42="","",IF((N(C41)+D42/2)=0,0,(C42-N(C41)-D42)/(N(C41)+D42/2)))</f>
        <v/>
      </c>
      <c r="G42" s="102">
        <f>IF(C42="",N(G41),(1+N(G41))*(1+F42)-1)</f>
        <v/>
      </c>
      <c r="H42" s="103">
        <f>IF(C42="","",C42-E42-'Settings'!$C$11)</f>
        <v/>
      </c>
    </row>
  </sheetData>
  <mergeCells count="1">
    <mergeCell ref="P2:Q2"/>
  </mergeCells>
  <conditionalFormatting sqref="F7:H42">
    <cfRule type="cellIs" priority="1" operator="lessThan" dxfId="4">
      <formula>0</formula>
    </cfRule>
    <cfRule type="cellIs" priority="2" operator="greaterThan" dxfId="5">
      <formula>0</formula>
    </cfRule>
  </conditionalFormatting>
  <hyperlinks>
    <hyperlink ref="P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A1:R27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6" customWidth="1" min="3" max="3"/>
    <col width="3" customWidth="1" min="4" max="4"/>
    <col width="26" customWidth="1" min="5" max="5"/>
    <col width="16" customWidth="1" min="6" max="6"/>
    <col width="14" customWidth="1" min="7" max="7"/>
    <col width="14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31" t="inlineStr">
        <is>
          <t>Dividends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32" t="inlineStr">
        <is>
          <t>← Accueil</t>
        </is>
      </c>
      <c r="Q2" s="1" t="n"/>
      <c r="R2" s="1" t="n"/>
    </row>
    <row r="3" ht="18" customHeight="1">
      <c r="A3" s="1" t="n"/>
      <c r="B3" s="4" t="inlineStr">
        <is>
          <t>Passive income by month and by holding: the cash your portfolio pays you.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</row>
    <row r="6" ht="24" customHeight="1">
      <c r="B6" s="13" t="inlineStr">
        <is>
          <t>BY MONTH (ANALYSIS YEAR)</t>
        </is>
      </c>
      <c r="C6" s="14" t="n"/>
      <c r="E6" s="18" t="inlineStr">
        <is>
          <t>BY HOLDING (ALL TIME)</t>
        </is>
      </c>
      <c r="F6" s="19" t="n"/>
      <c r="G6" s="19" t="n"/>
      <c r="H6" s="19" t="n"/>
    </row>
    <row r="7">
      <c r="B7" s="67" t="inlineStr">
        <is>
          <t>Month</t>
        </is>
      </c>
      <c r="C7" s="67" t="inlineStr">
        <is>
          <t>Dividends</t>
        </is>
      </c>
      <c r="E7" s="67" t="inlineStr">
        <is>
          <t>Ticker</t>
        </is>
      </c>
      <c r="F7" s="67" t="inlineStr">
        <is>
          <t>Dividends received</t>
        </is>
      </c>
      <c r="G7" s="67" t="inlineStr">
        <is>
          <t>Yield on cost</t>
        </is>
      </c>
      <c r="H7" s="67" t="inlineStr">
        <is>
          <t>Share of income</t>
        </is>
      </c>
    </row>
    <row r="8" ht="20" customHeight="1">
      <c r="B8" s="104" t="inlineStr">
        <is>
          <t>Jan</t>
        </is>
      </c>
      <c r="C8" s="74">
        <f>SUMIFS('Transactions'!$J$6:$J$1005,'Transactions'!$D$6:$D$1005,"Dividend",'Transactions'!$K$6:$K$1005,DATE('Settings'!$C$10,1,1))</f>
        <v/>
      </c>
      <c r="E8" s="93">
        <f>IF('Holdings'!B7="","",'Holdings'!B7)</f>
        <v/>
      </c>
      <c r="F8" s="74">
        <f>IF(E8="",0,'Holdings'!O7)</f>
        <v/>
      </c>
      <c r="G8" s="85">
        <f>IF(OR(E8="",N('Holdings'!J7)=0),0,F8/'Holdings'!J7)</f>
        <v/>
      </c>
      <c r="H8" s="105">
        <f>IF(SUM($F$8:$F$27)=0,0,F8/SUM($F$8:$F$27))</f>
        <v/>
      </c>
    </row>
    <row r="9" ht="20" customHeight="1">
      <c r="B9" s="104" t="inlineStr">
        <is>
          <t>Feb</t>
        </is>
      </c>
      <c r="C9" s="74">
        <f>SUMIFS('Transactions'!$J$6:$J$1005,'Transactions'!$D$6:$D$1005,"Dividend",'Transactions'!$K$6:$K$1005,DATE('Settings'!$C$10,2,1))</f>
        <v/>
      </c>
      <c r="E9" s="93">
        <f>IF('Holdings'!B8="","",'Holdings'!B8)</f>
        <v/>
      </c>
      <c r="F9" s="74">
        <f>IF(E9="",0,'Holdings'!O8)</f>
        <v/>
      </c>
      <c r="G9" s="85">
        <f>IF(OR(E9="",N('Holdings'!J8)=0),0,F9/'Holdings'!J8)</f>
        <v/>
      </c>
      <c r="H9" s="105">
        <f>IF(SUM($F$8:$F$27)=0,0,F9/SUM($F$8:$F$27))</f>
        <v/>
      </c>
    </row>
    <row r="10" ht="20" customHeight="1">
      <c r="B10" s="104" t="inlineStr">
        <is>
          <t>Mar</t>
        </is>
      </c>
      <c r="C10" s="74">
        <f>SUMIFS('Transactions'!$J$6:$J$1005,'Transactions'!$D$6:$D$1005,"Dividend",'Transactions'!$K$6:$K$1005,DATE('Settings'!$C$10,3,1))</f>
        <v/>
      </c>
      <c r="E10" s="93">
        <f>IF('Holdings'!B9="","",'Holdings'!B9)</f>
        <v/>
      </c>
      <c r="F10" s="74">
        <f>IF(E10="",0,'Holdings'!O9)</f>
        <v/>
      </c>
      <c r="G10" s="85">
        <f>IF(OR(E10="",N('Holdings'!J9)=0),0,F10/'Holdings'!J9)</f>
        <v/>
      </c>
      <c r="H10" s="105">
        <f>IF(SUM($F$8:$F$27)=0,0,F10/SUM($F$8:$F$27))</f>
        <v/>
      </c>
    </row>
    <row r="11" ht="20" customHeight="1">
      <c r="B11" s="104" t="inlineStr">
        <is>
          <t>Apr</t>
        </is>
      </c>
      <c r="C11" s="74">
        <f>SUMIFS('Transactions'!$J$6:$J$1005,'Transactions'!$D$6:$D$1005,"Dividend",'Transactions'!$K$6:$K$1005,DATE('Settings'!$C$10,4,1))</f>
        <v/>
      </c>
      <c r="E11" s="93">
        <f>IF('Holdings'!B10="","",'Holdings'!B10)</f>
        <v/>
      </c>
      <c r="F11" s="74">
        <f>IF(E11="",0,'Holdings'!O10)</f>
        <v/>
      </c>
      <c r="G11" s="85">
        <f>IF(OR(E11="",N('Holdings'!J10)=0),0,F11/'Holdings'!J10)</f>
        <v/>
      </c>
      <c r="H11" s="105">
        <f>IF(SUM($F$8:$F$27)=0,0,F11/SUM($F$8:$F$27))</f>
        <v/>
      </c>
    </row>
    <row r="12" ht="20" customHeight="1">
      <c r="B12" s="104" t="inlineStr">
        <is>
          <t>May</t>
        </is>
      </c>
      <c r="C12" s="74">
        <f>SUMIFS('Transactions'!$J$6:$J$1005,'Transactions'!$D$6:$D$1005,"Dividend",'Transactions'!$K$6:$K$1005,DATE('Settings'!$C$10,5,1))</f>
        <v/>
      </c>
      <c r="E12" s="93">
        <f>IF('Holdings'!B11="","",'Holdings'!B11)</f>
        <v/>
      </c>
      <c r="F12" s="74">
        <f>IF(E12="",0,'Holdings'!O11)</f>
        <v/>
      </c>
      <c r="G12" s="85">
        <f>IF(OR(E12="",N('Holdings'!J11)=0),0,F12/'Holdings'!J11)</f>
        <v/>
      </c>
      <c r="H12" s="105">
        <f>IF(SUM($F$8:$F$27)=0,0,F12/SUM($F$8:$F$27))</f>
        <v/>
      </c>
    </row>
    <row r="13" ht="20" customHeight="1">
      <c r="B13" s="104" t="inlineStr">
        <is>
          <t>Jun</t>
        </is>
      </c>
      <c r="C13" s="74">
        <f>SUMIFS('Transactions'!$J$6:$J$1005,'Transactions'!$D$6:$D$1005,"Dividend",'Transactions'!$K$6:$K$1005,DATE('Settings'!$C$10,6,1))</f>
        <v/>
      </c>
      <c r="E13" s="93">
        <f>IF('Holdings'!B12="","",'Holdings'!B12)</f>
        <v/>
      </c>
      <c r="F13" s="74">
        <f>IF(E13="",0,'Holdings'!O12)</f>
        <v/>
      </c>
      <c r="G13" s="85">
        <f>IF(OR(E13="",N('Holdings'!J12)=0),0,F13/'Holdings'!J12)</f>
        <v/>
      </c>
      <c r="H13" s="105">
        <f>IF(SUM($F$8:$F$27)=0,0,F13/SUM($F$8:$F$27))</f>
        <v/>
      </c>
    </row>
    <row r="14" ht="20" customHeight="1">
      <c r="B14" s="104" t="inlineStr">
        <is>
          <t>Jul</t>
        </is>
      </c>
      <c r="C14" s="74">
        <f>SUMIFS('Transactions'!$J$6:$J$1005,'Transactions'!$D$6:$D$1005,"Dividend",'Transactions'!$K$6:$K$1005,DATE('Settings'!$C$10,7,1))</f>
        <v/>
      </c>
      <c r="E14" s="93">
        <f>IF('Holdings'!B13="","",'Holdings'!B13)</f>
        <v/>
      </c>
      <c r="F14" s="74">
        <f>IF(E14="",0,'Holdings'!O13)</f>
        <v/>
      </c>
      <c r="G14" s="85">
        <f>IF(OR(E14="",N('Holdings'!J13)=0),0,F14/'Holdings'!J13)</f>
        <v/>
      </c>
      <c r="H14" s="105">
        <f>IF(SUM($F$8:$F$27)=0,0,F14/SUM($F$8:$F$27))</f>
        <v/>
      </c>
    </row>
    <row r="15" ht="20" customHeight="1">
      <c r="B15" s="104" t="inlineStr">
        <is>
          <t>Aug</t>
        </is>
      </c>
      <c r="C15" s="74">
        <f>SUMIFS('Transactions'!$J$6:$J$1005,'Transactions'!$D$6:$D$1005,"Dividend",'Transactions'!$K$6:$K$1005,DATE('Settings'!$C$10,8,1))</f>
        <v/>
      </c>
      <c r="E15" s="93">
        <f>IF('Holdings'!B14="","",'Holdings'!B14)</f>
        <v/>
      </c>
      <c r="F15" s="74">
        <f>IF(E15="",0,'Holdings'!O14)</f>
        <v/>
      </c>
      <c r="G15" s="85">
        <f>IF(OR(E15="",N('Holdings'!J14)=0),0,F15/'Holdings'!J14)</f>
        <v/>
      </c>
      <c r="H15" s="105">
        <f>IF(SUM($F$8:$F$27)=0,0,F15/SUM($F$8:$F$27))</f>
        <v/>
      </c>
    </row>
    <row r="16" ht="20" customHeight="1">
      <c r="B16" s="104" t="inlineStr">
        <is>
          <t>Sep</t>
        </is>
      </c>
      <c r="C16" s="74">
        <f>SUMIFS('Transactions'!$J$6:$J$1005,'Transactions'!$D$6:$D$1005,"Dividend",'Transactions'!$K$6:$K$1005,DATE('Settings'!$C$10,9,1))</f>
        <v/>
      </c>
      <c r="E16" s="93">
        <f>IF('Holdings'!B15="","",'Holdings'!B15)</f>
        <v/>
      </c>
      <c r="F16" s="74">
        <f>IF(E16="",0,'Holdings'!O15)</f>
        <v/>
      </c>
      <c r="G16" s="85">
        <f>IF(OR(E16="",N('Holdings'!J15)=0),0,F16/'Holdings'!J15)</f>
        <v/>
      </c>
      <c r="H16" s="105">
        <f>IF(SUM($F$8:$F$27)=0,0,F16/SUM($F$8:$F$27))</f>
        <v/>
      </c>
    </row>
    <row r="17" ht="20" customHeight="1">
      <c r="B17" s="104" t="inlineStr">
        <is>
          <t>Oct</t>
        </is>
      </c>
      <c r="C17" s="74">
        <f>SUMIFS('Transactions'!$J$6:$J$1005,'Transactions'!$D$6:$D$1005,"Dividend",'Transactions'!$K$6:$K$1005,DATE('Settings'!$C$10,10,1))</f>
        <v/>
      </c>
      <c r="E17" s="93">
        <f>IF('Holdings'!B16="","",'Holdings'!B16)</f>
        <v/>
      </c>
      <c r="F17" s="74">
        <f>IF(E17="",0,'Holdings'!O16)</f>
        <v/>
      </c>
      <c r="G17" s="85">
        <f>IF(OR(E17="",N('Holdings'!J16)=0),0,F17/'Holdings'!J16)</f>
        <v/>
      </c>
      <c r="H17" s="105">
        <f>IF(SUM($F$8:$F$27)=0,0,F17/SUM($F$8:$F$27))</f>
        <v/>
      </c>
    </row>
    <row r="18" ht="20" customHeight="1">
      <c r="B18" s="104" t="inlineStr">
        <is>
          <t>Nov</t>
        </is>
      </c>
      <c r="C18" s="74">
        <f>SUMIFS('Transactions'!$J$6:$J$1005,'Transactions'!$D$6:$D$1005,"Dividend",'Transactions'!$K$6:$K$1005,DATE('Settings'!$C$10,11,1))</f>
        <v/>
      </c>
      <c r="E18" s="93">
        <f>IF('Holdings'!B17="","",'Holdings'!B17)</f>
        <v/>
      </c>
      <c r="F18" s="74">
        <f>IF(E18="",0,'Holdings'!O17)</f>
        <v/>
      </c>
      <c r="G18" s="85">
        <f>IF(OR(E18="",N('Holdings'!J17)=0),0,F18/'Holdings'!J17)</f>
        <v/>
      </c>
      <c r="H18" s="105">
        <f>IF(SUM($F$8:$F$27)=0,0,F18/SUM($F$8:$F$27))</f>
        <v/>
      </c>
    </row>
    <row r="19" ht="20" customHeight="1">
      <c r="B19" s="104" t="inlineStr">
        <is>
          <t>Dec</t>
        </is>
      </c>
      <c r="C19" s="74">
        <f>SUMIFS('Transactions'!$J$6:$J$1005,'Transactions'!$D$6:$D$1005,"Dividend",'Transactions'!$K$6:$K$1005,DATE('Settings'!$C$10,12,1))</f>
        <v/>
      </c>
      <c r="E19" s="93">
        <f>IF('Holdings'!B18="","",'Holdings'!B18)</f>
        <v/>
      </c>
      <c r="F19" s="74">
        <f>IF(E19="",0,'Holdings'!O18)</f>
        <v/>
      </c>
      <c r="G19" s="85">
        <f>IF(OR(E19="",N('Holdings'!J18)=0),0,F19/'Holdings'!J18)</f>
        <v/>
      </c>
      <c r="H19" s="105">
        <f>IF(SUM($F$8:$F$27)=0,0,F19/SUM($F$8:$F$27))</f>
        <v/>
      </c>
    </row>
    <row r="20" ht="20" customHeight="1">
      <c r="B20" s="106" t="inlineStr">
        <is>
          <t>Year total</t>
        </is>
      </c>
      <c r="C20" s="88">
        <f>SUM(C8:C19)</f>
        <v/>
      </c>
      <c r="E20" s="93">
        <f>IF('Holdings'!B19="","",'Holdings'!B19)</f>
        <v/>
      </c>
      <c r="F20" s="74">
        <f>IF(E20="",0,'Holdings'!O19)</f>
        <v/>
      </c>
      <c r="G20" s="85">
        <f>IF(OR(E20="",N('Holdings'!J19)=0),0,F20/'Holdings'!J19)</f>
        <v/>
      </c>
      <c r="H20" s="105">
        <f>IF(SUM($F$8:$F$27)=0,0,F20/SUM($F$8:$F$27))</f>
        <v/>
      </c>
    </row>
    <row r="21" ht="20" customHeight="1">
      <c r="B21" s="107" t="inlineStr">
        <is>
          <t>Monthly avg</t>
        </is>
      </c>
      <c r="C21" s="88">
        <f>C20/12</f>
        <v/>
      </c>
      <c r="E21" s="93">
        <f>IF('Holdings'!B20="","",'Holdings'!B20)</f>
        <v/>
      </c>
      <c r="F21" s="74">
        <f>IF(E21="",0,'Holdings'!O20)</f>
        <v/>
      </c>
      <c r="G21" s="85">
        <f>IF(OR(E21="",N('Holdings'!J20)=0),0,F21/'Holdings'!J20)</f>
        <v/>
      </c>
      <c r="H21" s="105">
        <f>IF(SUM($F$8:$F$27)=0,0,F21/SUM($F$8:$F$27))</f>
        <v/>
      </c>
    </row>
    <row r="22" ht="20" customHeight="1">
      <c r="E22" s="93">
        <f>IF('Holdings'!B21="","",'Holdings'!B21)</f>
        <v/>
      </c>
      <c r="F22" s="74">
        <f>IF(E22="",0,'Holdings'!O21)</f>
        <v/>
      </c>
      <c r="G22" s="85">
        <f>IF(OR(E22="",N('Holdings'!J21)=0),0,F22/'Holdings'!J21)</f>
        <v/>
      </c>
      <c r="H22" s="105">
        <f>IF(SUM($F$8:$F$27)=0,0,F22/SUM($F$8:$F$27))</f>
        <v/>
      </c>
    </row>
    <row r="23" ht="20" customHeight="1">
      <c r="E23" s="93">
        <f>IF('Holdings'!B22="","",'Holdings'!B22)</f>
        <v/>
      </c>
      <c r="F23" s="74">
        <f>IF(E23="",0,'Holdings'!O22)</f>
        <v/>
      </c>
      <c r="G23" s="85">
        <f>IF(OR(E23="",N('Holdings'!J22)=0),0,F23/'Holdings'!J22)</f>
        <v/>
      </c>
      <c r="H23" s="105">
        <f>IF(SUM($F$8:$F$27)=0,0,F23/SUM($F$8:$F$27))</f>
        <v/>
      </c>
    </row>
    <row r="24" ht="20" customHeight="1">
      <c r="E24" s="93">
        <f>IF('Holdings'!B23="","",'Holdings'!B23)</f>
        <v/>
      </c>
      <c r="F24" s="74">
        <f>IF(E24="",0,'Holdings'!O23)</f>
        <v/>
      </c>
      <c r="G24" s="85">
        <f>IF(OR(E24="",N('Holdings'!J23)=0),0,F24/'Holdings'!J23)</f>
        <v/>
      </c>
      <c r="H24" s="105">
        <f>IF(SUM($F$8:$F$27)=0,0,F24/SUM($F$8:$F$27))</f>
        <v/>
      </c>
    </row>
    <row r="25" ht="20" customHeight="1">
      <c r="E25" s="93">
        <f>IF('Holdings'!B24="","",'Holdings'!B24)</f>
        <v/>
      </c>
      <c r="F25" s="74">
        <f>IF(E25="",0,'Holdings'!O24)</f>
        <v/>
      </c>
      <c r="G25" s="85">
        <f>IF(OR(E25="",N('Holdings'!J24)=0),0,F25/'Holdings'!J24)</f>
        <v/>
      </c>
      <c r="H25" s="105">
        <f>IF(SUM($F$8:$F$27)=0,0,F25/SUM($F$8:$F$27))</f>
        <v/>
      </c>
    </row>
    <row r="26" ht="20" customHeight="1">
      <c r="E26" s="93">
        <f>IF('Holdings'!B25="","",'Holdings'!B25)</f>
        <v/>
      </c>
      <c r="F26" s="74">
        <f>IF(E26="",0,'Holdings'!O25)</f>
        <v/>
      </c>
      <c r="G26" s="85">
        <f>IF(OR(E26="",N('Holdings'!J25)=0),0,F26/'Holdings'!J25)</f>
        <v/>
      </c>
      <c r="H26" s="105">
        <f>IF(SUM($F$8:$F$27)=0,0,F26/SUM($F$8:$F$27))</f>
        <v/>
      </c>
    </row>
    <row r="27" ht="20" customHeight="1">
      <c r="E27" s="93">
        <f>IF('Holdings'!B26="","",'Holdings'!B26)</f>
        <v/>
      </c>
      <c r="F27" s="74">
        <f>IF(E27="",0,'Holdings'!O26)</f>
        <v/>
      </c>
      <c r="G27" s="85">
        <f>IF(OR(E27="",N('Holdings'!J26)=0),0,F27/'Holdings'!J26)</f>
        <v/>
      </c>
      <c r="H27" s="105">
        <f>IF(SUM($F$8:$F$27)=0,0,F27/SUM($F$8:$F$27))</f>
        <v/>
      </c>
    </row>
  </sheetData>
  <mergeCells count="3">
    <mergeCell ref="P2:Q2"/>
    <mergeCell ref="B6:C6"/>
    <mergeCell ref="E6:H6"/>
  </mergeCells>
  <hyperlinks>
    <hyperlink ref="P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J2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0" customWidth="1" min="2" max="2"/>
    <col width="26" customWidth="1" min="3" max="3"/>
    <col width="14" customWidth="1" min="4" max="4"/>
    <col width="14" customWidth="1" min="5" max="5"/>
    <col width="14" customWidth="1" min="6" max="6"/>
    <col width="13" customWidth="1" min="7" max="7"/>
    <col width="14" customWidth="1" min="8" max="8"/>
    <col width="44" customWidth="1" min="9" max="9"/>
    <col width="2" customWidth="1" min="10" max="10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31" t="inlineStr">
        <is>
          <t>Watchlist</t>
        </is>
      </c>
      <c r="C2" s="1" t="n"/>
      <c r="D2" s="1" t="n"/>
      <c r="E2" s="1" t="n"/>
      <c r="F2" s="1" t="n"/>
      <c r="G2" s="1" t="n"/>
      <c r="H2" s="32" t="inlineStr">
        <is>
          <t>← Accueil</t>
        </is>
      </c>
      <c r="I2" s="1" t="n"/>
      <c r="J2" s="1" t="n"/>
    </row>
    <row r="3" ht="18" customHeight="1">
      <c r="A3" s="1" t="n"/>
      <c r="B3" s="4" t="inlineStr">
        <is>
          <t>Opportunities you are tracking: your buy zone, today's price and the thesis behind it.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6" ht="32" customHeight="1">
      <c r="B6" s="67" t="inlineStr">
        <is>
          <t>Ticker</t>
        </is>
      </c>
      <c r="C6" s="67" t="inlineStr">
        <is>
          <t>Name</t>
        </is>
      </c>
      <c r="D6" s="67" t="inlineStr">
        <is>
          <t>Current price</t>
        </is>
      </c>
      <c r="E6" s="67" t="inlineStr">
        <is>
          <t>Target buy price</t>
        </is>
      </c>
      <c r="F6" s="67" t="inlineStr">
        <is>
          <t>Distance to target</t>
        </is>
      </c>
      <c r="G6" s="67" t="inlineStr">
        <is>
          <t>Status</t>
        </is>
      </c>
      <c r="H6" s="67" t="inlineStr">
        <is>
          <t>Priority</t>
        </is>
      </c>
      <c r="I6" s="67" t="inlineStr">
        <is>
          <t>Thesis / notes</t>
        </is>
      </c>
    </row>
    <row r="7" ht="22" customHeight="1">
      <c r="B7" s="41" t="inlineStr">
        <is>
          <t>SEMI</t>
        </is>
      </c>
      <c r="C7" s="73" t="inlineStr">
        <is>
          <t>Semiconductor Equipment Co.</t>
        </is>
      </c>
      <c r="D7" s="80" t="n">
        <v>142.5</v>
      </c>
      <c r="E7" s="80" t="n">
        <v>128</v>
      </c>
      <c r="F7" s="94">
        <f>IF(OR(D7="",E7="",N(E7)=0),"",D7/E7-1)</f>
        <v/>
      </c>
      <c r="G7" s="41" t="inlineStr">
        <is>
          <t>Watching</t>
        </is>
      </c>
      <c r="H7" s="41" t="inlineStr">
        <is>
          <t>High</t>
        </is>
      </c>
      <c r="I7" s="73" t="inlineStr">
        <is>
          <t>Strong demand cycle, wait for a pullback to the 200-day average.</t>
        </is>
      </c>
    </row>
    <row r="8" ht="22" customHeight="1">
      <c r="B8" s="41" t="inlineStr">
        <is>
          <t>RAIL</t>
        </is>
      </c>
      <c r="C8" s="73" t="inlineStr">
        <is>
          <t>National Rail Holdings</t>
        </is>
      </c>
      <c r="D8" s="80" t="n">
        <v>88.2</v>
      </c>
      <c r="E8" s="80" t="n">
        <v>84</v>
      </c>
      <c r="F8" s="94">
        <f>IF(OR(D8="",E8="",N(E8)=0),"",D8/E8-1)</f>
        <v/>
      </c>
      <c r="G8" s="41" t="inlineStr">
        <is>
          <t>Ready</t>
        </is>
      </c>
      <c r="H8" s="41" t="inlineStr">
        <is>
          <t>Medium</t>
        </is>
      </c>
      <c r="I8" s="73" t="inlineStr">
        <is>
          <t>Stable dividend, near support.</t>
        </is>
      </c>
    </row>
    <row r="9" ht="22" customHeight="1">
      <c r="B9" s="41" t="inlineStr">
        <is>
          <t>WATR</t>
        </is>
      </c>
      <c r="C9" s="73" t="inlineStr">
        <is>
          <t>Water Utilities Trust</t>
        </is>
      </c>
      <c r="D9" s="80" t="n">
        <v>61</v>
      </c>
      <c r="E9" s="80" t="n">
        <v>55</v>
      </c>
      <c r="F9" s="94">
        <f>IF(OR(D9="",E9="",N(E9)=0),"",D9/E9-1)</f>
        <v/>
      </c>
      <c r="G9" s="41" t="inlineStr">
        <is>
          <t>Watching</t>
        </is>
      </c>
      <c r="H9" s="41" t="inlineStr">
        <is>
          <t>Low</t>
        </is>
      </c>
      <c r="I9" s="73" t="inlineStr">
        <is>
          <t>Defensive holding, buy on weakness.</t>
        </is>
      </c>
    </row>
    <row r="10" ht="22" customHeight="1">
      <c r="B10" s="41" t="inlineStr">
        <is>
          <t>INDX</t>
        </is>
      </c>
      <c r="C10" s="73" t="inlineStr">
        <is>
          <t>Small Cap Value ETF</t>
        </is>
      </c>
      <c r="D10" s="80" t="n">
        <v>49.8</v>
      </c>
      <c r="E10" s="80" t="n">
        <v>46</v>
      </c>
      <c r="F10" s="94">
        <f>IF(OR(D10="",E10="",N(E10)=0),"",D10/E10-1)</f>
        <v/>
      </c>
      <c r="G10" s="41" t="inlineStr">
        <is>
          <t>Watching</t>
        </is>
      </c>
      <c r="H10" s="41" t="inlineStr">
        <is>
          <t>Medium</t>
        </is>
      </c>
      <c r="I10" s="73" t="inlineStr">
        <is>
          <t>Diversifier for the equity sleeve.</t>
        </is>
      </c>
    </row>
    <row r="11" ht="22" customHeight="1">
      <c r="B11" s="41" t="n"/>
      <c r="C11" s="73" t="n"/>
      <c r="D11" s="80" t="n"/>
      <c r="E11" s="80" t="n"/>
      <c r="F11" s="94">
        <f>IF(OR(D11="",E11="",N(E11)=0),"",D11/E11-1)</f>
        <v/>
      </c>
      <c r="G11" s="41" t="n"/>
      <c r="H11" s="41" t="n"/>
      <c r="I11" s="73" t="n"/>
    </row>
    <row r="12" ht="22" customHeight="1">
      <c r="B12" s="41" t="n"/>
      <c r="C12" s="73" t="n"/>
      <c r="D12" s="80" t="n"/>
      <c r="E12" s="80" t="n"/>
      <c r="F12" s="94">
        <f>IF(OR(D12="",E12="",N(E12)=0),"",D12/E12-1)</f>
        <v/>
      </c>
      <c r="G12" s="41" t="n"/>
      <c r="H12" s="41" t="n"/>
      <c r="I12" s="73" t="n"/>
    </row>
    <row r="13" ht="22" customHeight="1">
      <c r="B13" s="41" t="n"/>
      <c r="C13" s="73" t="n"/>
      <c r="D13" s="80" t="n"/>
      <c r="E13" s="80" t="n"/>
      <c r="F13" s="94">
        <f>IF(OR(D13="",E13="",N(E13)=0),"",D13/E13-1)</f>
        <v/>
      </c>
      <c r="G13" s="41" t="n"/>
      <c r="H13" s="41" t="n"/>
      <c r="I13" s="73" t="n"/>
    </row>
    <row r="14" ht="22" customHeight="1">
      <c r="B14" s="41" t="n"/>
      <c r="C14" s="73" t="n"/>
      <c r="D14" s="80" t="n"/>
      <c r="E14" s="80" t="n"/>
      <c r="F14" s="94">
        <f>IF(OR(D14="",E14="",N(E14)=0),"",D14/E14-1)</f>
        <v/>
      </c>
      <c r="G14" s="41" t="n"/>
      <c r="H14" s="41" t="n"/>
      <c r="I14" s="73" t="n"/>
    </row>
    <row r="15" ht="22" customHeight="1">
      <c r="B15" s="41" t="n"/>
      <c r="C15" s="73" t="n"/>
      <c r="D15" s="80" t="n"/>
      <c r="E15" s="80" t="n"/>
      <c r="F15" s="94">
        <f>IF(OR(D15="",E15="",N(E15)=0),"",D15/E15-1)</f>
        <v/>
      </c>
      <c r="G15" s="41" t="n"/>
      <c r="H15" s="41" t="n"/>
      <c r="I15" s="73" t="n"/>
    </row>
    <row r="16" ht="22" customHeight="1">
      <c r="B16" s="41" t="n"/>
      <c r="C16" s="73" t="n"/>
      <c r="D16" s="80" t="n"/>
      <c r="E16" s="80" t="n"/>
      <c r="F16" s="94">
        <f>IF(OR(D16="",E16="",N(E16)=0),"",D16/E16-1)</f>
        <v/>
      </c>
      <c r="G16" s="41" t="n"/>
      <c r="H16" s="41" t="n"/>
      <c r="I16" s="73" t="n"/>
    </row>
    <row r="17" ht="22" customHeight="1">
      <c r="B17" s="41" t="n"/>
      <c r="C17" s="73" t="n"/>
      <c r="D17" s="80" t="n"/>
      <c r="E17" s="80" t="n"/>
      <c r="F17" s="94">
        <f>IF(OR(D17="",E17="",N(E17)=0),"",D17/E17-1)</f>
        <v/>
      </c>
      <c r="G17" s="41" t="n"/>
      <c r="H17" s="41" t="n"/>
      <c r="I17" s="73" t="n"/>
    </row>
    <row r="18" ht="22" customHeight="1">
      <c r="B18" s="41" t="n"/>
      <c r="C18" s="73" t="n"/>
      <c r="D18" s="80" t="n"/>
      <c r="E18" s="80" t="n"/>
      <c r="F18" s="94">
        <f>IF(OR(D18="",E18="",N(E18)=0),"",D18/E18-1)</f>
        <v/>
      </c>
      <c r="G18" s="41" t="n"/>
      <c r="H18" s="41" t="n"/>
      <c r="I18" s="73" t="n"/>
    </row>
    <row r="19" ht="22" customHeight="1">
      <c r="B19" s="41" t="n"/>
      <c r="C19" s="73" t="n"/>
      <c r="D19" s="80" t="n"/>
      <c r="E19" s="80" t="n"/>
      <c r="F19" s="94">
        <f>IF(OR(D19="",E19="",N(E19)=0),"",D19/E19-1)</f>
        <v/>
      </c>
      <c r="G19" s="41" t="n"/>
      <c r="H19" s="41" t="n"/>
      <c r="I19" s="73" t="n"/>
    </row>
    <row r="20" ht="22" customHeight="1">
      <c r="B20" s="41" t="n"/>
      <c r="C20" s="73" t="n"/>
      <c r="D20" s="80" t="n"/>
      <c r="E20" s="80" t="n"/>
      <c r="F20" s="94">
        <f>IF(OR(D20="",E20="",N(E20)=0),"",D20/E20-1)</f>
        <v/>
      </c>
      <c r="G20" s="41" t="n"/>
      <c r="H20" s="41" t="n"/>
      <c r="I20" s="73" t="n"/>
    </row>
    <row r="21" ht="22" customHeight="1">
      <c r="B21" s="41" t="n"/>
      <c r="C21" s="73" t="n"/>
      <c r="D21" s="80" t="n"/>
      <c r="E21" s="80" t="n"/>
      <c r="F21" s="94">
        <f>IF(OR(D21="",E21="",N(E21)=0),"",D21/E21-1)</f>
        <v/>
      </c>
      <c r="G21" s="41" t="n"/>
      <c r="H21" s="41" t="n"/>
      <c r="I21" s="73" t="n"/>
    </row>
    <row r="22" ht="22" customHeight="1">
      <c r="B22" s="41" t="n"/>
      <c r="C22" s="73" t="n"/>
      <c r="D22" s="80" t="n"/>
      <c r="E22" s="80" t="n"/>
      <c r="F22" s="94">
        <f>IF(OR(D22="",E22="",N(E22)=0),"",D22/E22-1)</f>
        <v/>
      </c>
      <c r="G22" s="41" t="n"/>
      <c r="H22" s="41" t="n"/>
      <c r="I22" s="73" t="n"/>
    </row>
    <row r="23" ht="22" customHeight="1">
      <c r="B23" s="41" t="n"/>
      <c r="C23" s="73" t="n"/>
      <c r="D23" s="80" t="n"/>
      <c r="E23" s="80" t="n"/>
      <c r="F23" s="94">
        <f>IF(OR(D23="",E23="",N(E23)=0),"",D23/E23-1)</f>
        <v/>
      </c>
      <c r="G23" s="41" t="n"/>
      <c r="H23" s="41" t="n"/>
      <c r="I23" s="73" t="n"/>
    </row>
    <row r="24" ht="22" customHeight="1">
      <c r="B24" s="41" t="n"/>
      <c r="C24" s="73" t="n"/>
      <c r="D24" s="80" t="n"/>
      <c r="E24" s="80" t="n"/>
      <c r="F24" s="94">
        <f>IF(OR(D24="",E24="",N(E24)=0),"",D24/E24-1)</f>
        <v/>
      </c>
      <c r="G24" s="41" t="n"/>
      <c r="H24" s="41" t="n"/>
      <c r="I24" s="73" t="n"/>
    </row>
    <row r="25" ht="22" customHeight="1">
      <c r="B25" s="41" t="n"/>
      <c r="C25" s="73" t="n"/>
      <c r="D25" s="80" t="n"/>
      <c r="E25" s="80" t="n"/>
      <c r="F25" s="94">
        <f>IF(OR(D25="",E25="",N(E25)=0),"",D25/E25-1)</f>
        <v/>
      </c>
      <c r="G25" s="41" t="n"/>
      <c r="H25" s="41" t="n"/>
      <c r="I25" s="73" t="n"/>
    </row>
    <row r="26" ht="22" customHeight="1">
      <c r="B26" s="41" t="n"/>
      <c r="C26" s="73" t="n"/>
      <c r="D26" s="80" t="n"/>
      <c r="E26" s="80" t="n"/>
      <c r="F26" s="94">
        <f>IF(OR(D26="",E26="",N(E26)=0),"",D26/E26-1)</f>
        <v/>
      </c>
      <c r="G26" s="41" t="n"/>
      <c r="H26" s="41" t="n"/>
      <c r="I26" s="73" t="n"/>
    </row>
  </sheetData>
  <mergeCells count="1">
    <mergeCell ref="H2:I2"/>
  </mergeCells>
  <conditionalFormatting sqref="G7:G26">
    <cfRule type="cellIs" priority="1" operator="equal" dxfId="8">
      <formula>"Ready"</formula>
    </cfRule>
    <cfRule type="cellIs" priority="2" operator="equal" dxfId="7">
      <formula>"Watching"</formula>
    </cfRule>
    <cfRule type="cellIs" priority="3" operator="equal" dxfId="6">
      <formula>"Bought"</formula>
    </cfRule>
    <cfRule type="cellIs" priority="4" operator="equal" dxfId="10">
      <formula>"Dropped"</formula>
    </cfRule>
  </conditionalFormatting>
  <conditionalFormatting sqref="F7:F26">
    <cfRule type="cellIs" priority="5" operator="lessThanOrEqual" dxfId="8">
      <formula>0</formula>
    </cfRule>
  </conditionalFormatting>
  <dataValidations count="2">
    <dataValidation sqref="G7:G26" showDropDown="0" showInputMessage="0" showErrorMessage="0" allowBlank="1" type="list">
      <formula1>"Watching,Ready,Bought,Dropped"</formula1>
    </dataValidation>
    <dataValidation sqref="H7:H26" showDropDown="0" showInputMessage="0" showErrorMessage="0" allowBlank="1" type="list">
      <formula1>"High,Medium,Low"</formula1>
    </dataValidation>
  </dataValidations>
  <hyperlinks>
    <hyperlink ref="H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C8A24A"/>
    <outlinePr summaryBelow="1" summaryRight="1"/>
    <pageSetUpPr fitToPage="1"/>
  </sheetPr>
  <dimension ref="A1:S4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6" customWidth="1" min="2" max="2"/>
    <col width="16" customWidth="1" min="3" max="3"/>
    <col width="3" customWidth="1" min="4" max="4"/>
    <col width="9" customWidth="1" min="5" max="5"/>
    <col width="15" customWidth="1" min="6" max="6"/>
    <col width="15" customWidth="1" min="7" max="7"/>
    <col width="15" customWidth="1" min="8" max="8"/>
    <col width="15" customWidth="1" min="9" max="9"/>
    <col width="3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31" t="inlineStr">
        <is>
          <t>Freedom planner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32" t="inlineStr">
        <is>
          <t>← Accueil</t>
        </is>
      </c>
      <c r="R2" s="1" t="n"/>
      <c r="S2" s="1" t="n"/>
    </row>
    <row r="3" ht="18" customHeight="1">
      <c r="A3" s="1" t="n"/>
      <c r="B3" s="4" t="inlineStr">
        <is>
          <t>How big must your portfolio be to live off it, and when will you get there?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6" ht="24" customHeight="1">
      <c r="B6" s="13" t="inlineStr">
        <is>
          <t>YOUR ASSUMPTIONS</t>
        </is>
      </c>
      <c r="C6" s="14" t="n"/>
      <c r="E6" s="22" t="inlineStr">
        <is>
          <t>PROJECTION IN TODAY'S MONEY</t>
        </is>
      </c>
      <c r="F6" s="23" t="n"/>
      <c r="G6" s="23" t="n"/>
      <c r="H6" s="23" t="n"/>
      <c r="I6" s="23" t="n"/>
    </row>
    <row r="7" ht="23" customHeight="1">
      <c r="B7" s="108" t="inlineStr">
        <is>
          <t>Current age</t>
        </is>
      </c>
      <c r="C7" s="44" t="n">
        <v>32</v>
      </c>
      <c r="E7" s="67" t="inlineStr">
        <is>
          <t>Year</t>
        </is>
      </c>
      <c r="F7" s="67" t="inlineStr">
        <is>
          <t>Cautious</t>
        </is>
      </c>
      <c r="G7" s="67" t="inlineStr">
        <is>
          <t>Base case</t>
        </is>
      </c>
      <c r="H7" s="67" t="inlineStr">
        <is>
          <t>Optimistic</t>
        </is>
      </c>
      <c r="I7" s="67" t="inlineStr">
        <is>
          <t>Freedom number</t>
        </is>
      </c>
    </row>
    <row r="8" ht="23" customHeight="1">
      <c r="B8" s="108" t="inlineStr">
        <is>
          <t>Current portfolio</t>
        </is>
      </c>
      <c r="C8" s="45">
        <f>'Holdings'!K47</f>
        <v/>
      </c>
      <c r="E8" s="109" t="n">
        <v>0</v>
      </c>
      <c r="F8" s="110">
        <f>FV((((1+$C$10+(-0.02))/(1+$C$11))-1)/12,E8*12,-$C$9,-$C$8)</f>
        <v/>
      </c>
      <c r="G8" s="110">
        <f>FV((((1+$C$10+(0))/(1+$C$11))-1)/12,E8*12,-$C$9,-$C$8)</f>
        <v/>
      </c>
      <c r="H8" s="110">
        <f>FV((((1+$C$10+(0.02))/(1+$C$11))-1)/12,E8*12,-$C$9,-$C$8)</f>
        <v/>
      </c>
      <c r="I8" s="111">
        <f>$C$17</f>
        <v/>
      </c>
    </row>
    <row r="9" ht="23" customHeight="1">
      <c r="B9" s="108" t="inlineStr">
        <is>
          <t>Monthly contribution</t>
        </is>
      </c>
      <c r="C9" s="45" t="n">
        <v>1200</v>
      </c>
      <c r="E9" s="109" t="n">
        <v>1</v>
      </c>
      <c r="F9" s="110">
        <f>FV((((1+$C$10+(-0.02))/(1+$C$11))-1)/12,E9*12,-$C$9,-$C$8)</f>
        <v/>
      </c>
      <c r="G9" s="110">
        <f>FV((((1+$C$10+(0))/(1+$C$11))-1)/12,E9*12,-$C$9,-$C$8)</f>
        <v/>
      </c>
      <c r="H9" s="110">
        <f>FV((((1+$C$10+(0.02))/(1+$C$11))-1)/12,E9*12,-$C$9,-$C$8)</f>
        <v/>
      </c>
      <c r="I9" s="111">
        <f>$C$17</f>
        <v/>
      </c>
    </row>
    <row r="10" ht="23" customHeight="1">
      <c r="B10" s="108" t="inlineStr">
        <is>
          <t>Expected yearly return</t>
        </is>
      </c>
      <c r="C10" s="112" t="n">
        <v>0.07000000000000001</v>
      </c>
      <c r="E10" s="109" t="n">
        <v>2</v>
      </c>
      <c r="F10" s="110">
        <f>FV((((1+$C$10+(-0.02))/(1+$C$11))-1)/12,E10*12,-$C$9,-$C$8)</f>
        <v/>
      </c>
      <c r="G10" s="110">
        <f>FV((((1+$C$10+(0))/(1+$C$11))-1)/12,E10*12,-$C$9,-$C$8)</f>
        <v/>
      </c>
      <c r="H10" s="110">
        <f>FV((((1+$C$10+(0.02))/(1+$C$11))-1)/12,E10*12,-$C$9,-$C$8)</f>
        <v/>
      </c>
      <c r="I10" s="111">
        <f>$C$17</f>
        <v/>
      </c>
    </row>
    <row r="11" ht="23" customHeight="1">
      <c r="B11" s="108" t="inlineStr">
        <is>
          <t>Expected inflation</t>
        </is>
      </c>
      <c r="C11" s="112" t="n">
        <v>0.025</v>
      </c>
      <c r="E11" s="109" t="n">
        <v>3</v>
      </c>
      <c r="F11" s="110">
        <f>FV((((1+$C$10+(-0.02))/(1+$C$11))-1)/12,E11*12,-$C$9,-$C$8)</f>
        <v/>
      </c>
      <c r="G11" s="110">
        <f>FV((((1+$C$10+(0))/(1+$C$11))-1)/12,E11*12,-$C$9,-$C$8)</f>
        <v/>
      </c>
      <c r="H11" s="110">
        <f>FV((((1+$C$10+(0.02))/(1+$C$11))-1)/12,E11*12,-$C$9,-$C$8)</f>
        <v/>
      </c>
      <c r="I11" s="111">
        <f>$C$17</f>
        <v/>
      </c>
    </row>
    <row r="12" ht="23" customHeight="1">
      <c r="B12" s="108" t="inlineStr">
        <is>
          <t>Annual spending wanted (today's money)</t>
        </is>
      </c>
      <c r="C12" s="45" t="n">
        <v>36000</v>
      </c>
      <c r="E12" s="109" t="n">
        <v>4</v>
      </c>
      <c r="F12" s="110">
        <f>FV((((1+$C$10+(-0.02))/(1+$C$11))-1)/12,E12*12,-$C$9,-$C$8)</f>
        <v/>
      </c>
      <c r="G12" s="110">
        <f>FV((((1+$C$10+(0))/(1+$C$11))-1)/12,E12*12,-$C$9,-$C$8)</f>
        <v/>
      </c>
      <c r="H12" s="110">
        <f>FV((((1+$C$10+(0.02))/(1+$C$11))-1)/12,E12*12,-$C$9,-$C$8)</f>
        <v/>
      </c>
      <c r="I12" s="111">
        <f>$C$17</f>
        <v/>
      </c>
    </row>
    <row r="13" ht="23" customHeight="1">
      <c r="B13" s="108" t="inlineStr">
        <is>
          <t>Safe withdrawal rate</t>
        </is>
      </c>
      <c r="C13" s="112" t="n">
        <v>0.04</v>
      </c>
      <c r="E13" s="109" t="n">
        <v>5</v>
      </c>
      <c r="F13" s="110">
        <f>FV((((1+$C$10+(-0.02))/(1+$C$11))-1)/12,E13*12,-$C$9,-$C$8)</f>
        <v/>
      </c>
      <c r="G13" s="110">
        <f>FV((((1+$C$10+(0))/(1+$C$11))-1)/12,E13*12,-$C$9,-$C$8)</f>
        <v/>
      </c>
      <c r="H13" s="110">
        <f>FV((((1+$C$10+(0.02))/(1+$C$11))-1)/12,E13*12,-$C$9,-$C$8)</f>
        <v/>
      </c>
      <c r="I13" s="111">
        <f>$C$17</f>
        <v/>
      </c>
    </row>
    <row r="14">
      <c r="E14" s="109" t="n">
        <v>6</v>
      </c>
      <c r="F14" s="110">
        <f>FV((((1+$C$10+(-0.02))/(1+$C$11))-1)/12,E14*12,-$C$9,-$C$8)</f>
        <v/>
      </c>
      <c r="G14" s="110">
        <f>FV((((1+$C$10+(0))/(1+$C$11))-1)/12,E14*12,-$C$9,-$C$8)</f>
        <v/>
      </c>
      <c r="H14" s="110">
        <f>FV((((1+$C$10+(0.02))/(1+$C$11))-1)/12,E14*12,-$C$9,-$C$8)</f>
        <v/>
      </c>
      <c r="I14" s="111">
        <f>$C$17</f>
        <v/>
      </c>
    </row>
    <row r="15" ht="24" customHeight="1">
      <c r="B15" s="18" t="inlineStr">
        <is>
          <t>YOUR FREEDOM NUMBER</t>
        </is>
      </c>
      <c r="C15" s="19" t="n"/>
      <c r="E15" s="109" t="n">
        <v>7</v>
      </c>
      <c r="F15" s="110">
        <f>FV((((1+$C$10+(-0.02))/(1+$C$11))-1)/12,E15*12,-$C$9,-$C$8)</f>
        <v/>
      </c>
      <c r="G15" s="110">
        <f>FV((((1+$C$10+(0))/(1+$C$11))-1)/12,E15*12,-$C$9,-$C$8)</f>
        <v/>
      </c>
      <c r="H15" s="110">
        <f>FV((((1+$C$10+(0.02))/(1+$C$11))-1)/12,E15*12,-$C$9,-$C$8)</f>
        <v/>
      </c>
      <c r="I15" s="111">
        <f>$C$17</f>
        <v/>
      </c>
    </row>
    <row r="16" ht="23" customHeight="1">
      <c r="B16" s="108" t="inlineStr">
        <is>
          <t>Real return (after inflation)</t>
        </is>
      </c>
      <c r="C16" s="113">
        <f>(1+C10)/(1+C11)-1</f>
        <v/>
      </c>
      <c r="E16" s="109" t="n">
        <v>8</v>
      </c>
      <c r="F16" s="110">
        <f>FV((((1+$C$10+(-0.02))/(1+$C$11))-1)/12,E16*12,-$C$9,-$C$8)</f>
        <v/>
      </c>
      <c r="G16" s="110">
        <f>FV((((1+$C$10+(0))/(1+$C$11))-1)/12,E16*12,-$C$9,-$C$8)</f>
        <v/>
      </c>
      <c r="H16" s="110">
        <f>FV((((1+$C$10+(0.02))/(1+$C$11))-1)/12,E16*12,-$C$9,-$C$8)</f>
        <v/>
      </c>
      <c r="I16" s="111">
        <f>$C$17</f>
        <v/>
      </c>
    </row>
    <row r="17" ht="23" customHeight="1">
      <c r="B17" s="108" t="inlineStr">
        <is>
          <t>Freedom number (today's money)</t>
        </is>
      </c>
      <c r="C17" s="114">
        <f>IFERROR(C12/C13,0)</f>
        <v/>
      </c>
      <c r="E17" s="109" t="n">
        <v>9</v>
      </c>
      <c r="F17" s="110">
        <f>FV((((1+$C$10+(-0.02))/(1+$C$11))-1)/12,E17*12,-$C$9,-$C$8)</f>
        <v/>
      </c>
      <c r="G17" s="110">
        <f>FV((((1+$C$10+(0))/(1+$C$11))-1)/12,E17*12,-$C$9,-$C$8)</f>
        <v/>
      </c>
      <c r="H17" s="110">
        <f>FV((((1+$C$10+(0.02))/(1+$C$11))-1)/12,E17*12,-$C$9,-$C$8)</f>
        <v/>
      </c>
      <c r="I17" s="111">
        <f>$C$17</f>
        <v/>
      </c>
    </row>
    <row r="18" ht="23" customHeight="1">
      <c r="B18" s="108" t="inlineStr">
        <is>
          <t>Progress</t>
        </is>
      </c>
      <c r="C18" s="115">
        <f>IF(C17=0,0,MIN(1,C8/C17))</f>
        <v/>
      </c>
      <c r="E18" s="109" t="n">
        <v>10</v>
      </c>
      <c r="F18" s="110">
        <f>FV((((1+$C$10+(-0.02))/(1+$C$11))-1)/12,E18*12,-$C$9,-$C$8)</f>
        <v/>
      </c>
      <c r="G18" s="110">
        <f>FV((((1+$C$10+(0))/(1+$C$11))-1)/12,E18*12,-$C$9,-$C$8)</f>
        <v/>
      </c>
      <c r="H18" s="110">
        <f>FV((((1+$C$10+(0.02))/(1+$C$11))-1)/12,E18*12,-$C$9,-$C$8)</f>
        <v/>
      </c>
      <c r="I18" s="111">
        <f>$C$17</f>
        <v/>
      </c>
    </row>
    <row r="19" ht="23" customHeight="1">
      <c r="B19" s="108" t="inlineStr">
        <is>
          <t>Years to freedom</t>
        </is>
      </c>
      <c r="C19" s="116">
        <f>IF(C8&gt;=C17,0,IFERROR(NPER(C16/12,-C9,-C8,C17)/12,"Not reachable"))</f>
        <v/>
      </c>
      <c r="E19" s="109" t="n">
        <v>11</v>
      </c>
      <c r="F19" s="110">
        <f>FV((((1+$C$10+(-0.02))/(1+$C$11))-1)/12,E19*12,-$C$9,-$C$8)</f>
        <v/>
      </c>
      <c r="G19" s="110">
        <f>FV((((1+$C$10+(0))/(1+$C$11))-1)/12,E19*12,-$C$9,-$C$8)</f>
        <v/>
      </c>
      <c r="H19" s="110">
        <f>FV((((1+$C$10+(0.02))/(1+$C$11))-1)/12,E19*12,-$C$9,-$C$8)</f>
        <v/>
      </c>
      <c r="I19" s="111">
        <f>$C$17</f>
        <v/>
      </c>
    </row>
    <row r="20" ht="23" customHeight="1">
      <c r="B20" s="108" t="inlineStr">
        <is>
          <t>Freedom age</t>
        </is>
      </c>
      <c r="C20" s="116">
        <f>IF(ISNUMBER(C19),C7+C19,"—")</f>
        <v/>
      </c>
      <c r="E20" s="109" t="n">
        <v>12</v>
      </c>
      <c r="F20" s="110">
        <f>FV((((1+$C$10+(-0.02))/(1+$C$11))-1)/12,E20*12,-$C$9,-$C$8)</f>
        <v/>
      </c>
      <c r="G20" s="110">
        <f>FV((((1+$C$10+(0))/(1+$C$11))-1)/12,E20*12,-$C$9,-$C$8)</f>
        <v/>
      </c>
      <c r="H20" s="110">
        <f>FV((((1+$C$10+(0.02))/(1+$C$11))-1)/12,E20*12,-$C$9,-$C$8)</f>
        <v/>
      </c>
      <c r="I20" s="111">
        <f>$C$17</f>
        <v/>
      </c>
    </row>
    <row r="21" ht="23" customHeight="1">
      <c r="B21" s="108" t="inlineStr">
        <is>
          <t>Coast number (needed now to coast)</t>
        </is>
      </c>
      <c r="C21" s="117">
        <f>IFERROR(C17/(1+C16)^(65-C7),0)</f>
        <v/>
      </c>
      <c r="E21" s="109" t="n">
        <v>13</v>
      </c>
      <c r="F21" s="110">
        <f>FV((((1+$C$10+(-0.02))/(1+$C$11))-1)/12,E21*12,-$C$9,-$C$8)</f>
        <v/>
      </c>
      <c r="G21" s="110">
        <f>FV((((1+$C$10+(0))/(1+$C$11))-1)/12,E21*12,-$C$9,-$C$8)</f>
        <v/>
      </c>
      <c r="H21" s="110">
        <f>FV((((1+$C$10+(0.02))/(1+$C$11))-1)/12,E21*12,-$C$9,-$C$8)</f>
        <v/>
      </c>
      <c r="I21" s="111">
        <f>$C$17</f>
        <v/>
      </c>
    </row>
    <row r="22" ht="23" customHeight="1">
      <c r="B22" s="108" t="inlineStr">
        <is>
          <t>Monthly income at freedom (today's money)</t>
        </is>
      </c>
      <c r="C22" s="117">
        <f>C17*C13/12</f>
        <v/>
      </c>
      <c r="E22" s="109" t="n">
        <v>14</v>
      </c>
      <c r="F22" s="110">
        <f>FV((((1+$C$10+(-0.02))/(1+$C$11))-1)/12,E22*12,-$C$9,-$C$8)</f>
        <v/>
      </c>
      <c r="G22" s="110">
        <f>FV((((1+$C$10+(0))/(1+$C$11))-1)/12,E22*12,-$C$9,-$C$8)</f>
        <v/>
      </c>
      <c r="H22" s="110">
        <f>FV((((1+$C$10+(0.02))/(1+$C$11))-1)/12,E22*12,-$C$9,-$C$8)</f>
        <v/>
      </c>
      <c r="I22" s="111">
        <f>$C$17</f>
        <v/>
      </c>
    </row>
    <row r="23">
      <c r="E23" s="109" t="n">
        <v>15</v>
      </c>
      <c r="F23" s="110">
        <f>FV((((1+$C$10+(-0.02))/(1+$C$11))-1)/12,E23*12,-$C$9,-$C$8)</f>
        <v/>
      </c>
      <c r="G23" s="110">
        <f>FV((((1+$C$10+(0))/(1+$C$11))-1)/12,E23*12,-$C$9,-$C$8)</f>
        <v/>
      </c>
      <c r="H23" s="110">
        <f>FV((((1+$C$10+(0.02))/(1+$C$11))-1)/12,E23*12,-$C$9,-$C$8)</f>
        <v/>
      </c>
      <c r="I23" s="111">
        <f>$C$17</f>
        <v/>
      </c>
    </row>
    <row r="24" ht="52" customHeight="1">
      <c r="B24" s="118" t="inlineStr">
        <is>
          <t>Freedom number = annual spending / withdrawal rate (the 4% rule of thumb is a guideline, not a guarantee). Coast number = the amount that grows to your freedom number by age 65 with no more contributions.</t>
        </is>
      </c>
      <c r="C24" s="118" t="n"/>
      <c r="E24" s="109" t="n">
        <v>16</v>
      </c>
      <c r="F24" s="110">
        <f>FV((((1+$C$10+(-0.02))/(1+$C$11))-1)/12,E24*12,-$C$9,-$C$8)</f>
        <v/>
      </c>
      <c r="G24" s="110">
        <f>FV((((1+$C$10+(0))/(1+$C$11))-1)/12,E24*12,-$C$9,-$C$8)</f>
        <v/>
      </c>
      <c r="H24" s="110">
        <f>FV((((1+$C$10+(0.02))/(1+$C$11))-1)/12,E24*12,-$C$9,-$C$8)</f>
        <v/>
      </c>
      <c r="I24" s="111">
        <f>$C$17</f>
        <v/>
      </c>
    </row>
    <row r="25">
      <c r="E25" s="109" t="n">
        <v>17</v>
      </c>
      <c r="F25" s="110">
        <f>FV((((1+$C$10+(-0.02))/(1+$C$11))-1)/12,E25*12,-$C$9,-$C$8)</f>
        <v/>
      </c>
      <c r="G25" s="110">
        <f>FV((((1+$C$10+(0))/(1+$C$11))-1)/12,E25*12,-$C$9,-$C$8)</f>
        <v/>
      </c>
      <c r="H25" s="110">
        <f>FV((((1+$C$10+(0.02))/(1+$C$11))-1)/12,E25*12,-$C$9,-$C$8)</f>
        <v/>
      </c>
      <c r="I25" s="111">
        <f>$C$17</f>
        <v/>
      </c>
    </row>
    <row r="26">
      <c r="E26" s="109" t="n">
        <v>18</v>
      </c>
      <c r="F26" s="110">
        <f>FV((((1+$C$10+(-0.02))/(1+$C$11))-1)/12,E26*12,-$C$9,-$C$8)</f>
        <v/>
      </c>
      <c r="G26" s="110">
        <f>FV((((1+$C$10+(0))/(1+$C$11))-1)/12,E26*12,-$C$9,-$C$8)</f>
        <v/>
      </c>
      <c r="H26" s="110">
        <f>FV((((1+$C$10+(0.02))/(1+$C$11))-1)/12,E26*12,-$C$9,-$C$8)</f>
        <v/>
      </c>
      <c r="I26" s="111">
        <f>$C$17</f>
        <v/>
      </c>
    </row>
    <row r="27">
      <c r="E27" s="109" t="n">
        <v>19</v>
      </c>
      <c r="F27" s="110">
        <f>FV((((1+$C$10+(-0.02))/(1+$C$11))-1)/12,E27*12,-$C$9,-$C$8)</f>
        <v/>
      </c>
      <c r="G27" s="110">
        <f>FV((((1+$C$10+(0))/(1+$C$11))-1)/12,E27*12,-$C$9,-$C$8)</f>
        <v/>
      </c>
      <c r="H27" s="110">
        <f>FV((((1+$C$10+(0.02))/(1+$C$11))-1)/12,E27*12,-$C$9,-$C$8)</f>
        <v/>
      </c>
      <c r="I27" s="111">
        <f>$C$17</f>
        <v/>
      </c>
    </row>
    <row r="28">
      <c r="E28" s="109" t="n">
        <v>20</v>
      </c>
      <c r="F28" s="110">
        <f>FV((((1+$C$10+(-0.02))/(1+$C$11))-1)/12,E28*12,-$C$9,-$C$8)</f>
        <v/>
      </c>
      <c r="G28" s="110">
        <f>FV((((1+$C$10+(0))/(1+$C$11))-1)/12,E28*12,-$C$9,-$C$8)</f>
        <v/>
      </c>
      <c r="H28" s="110">
        <f>FV((((1+$C$10+(0.02))/(1+$C$11))-1)/12,E28*12,-$C$9,-$C$8)</f>
        <v/>
      </c>
      <c r="I28" s="111">
        <f>$C$17</f>
        <v/>
      </c>
    </row>
    <row r="29">
      <c r="E29" s="109" t="n">
        <v>21</v>
      </c>
      <c r="F29" s="110">
        <f>FV((((1+$C$10+(-0.02))/(1+$C$11))-1)/12,E29*12,-$C$9,-$C$8)</f>
        <v/>
      </c>
      <c r="G29" s="110">
        <f>FV((((1+$C$10+(0))/(1+$C$11))-1)/12,E29*12,-$C$9,-$C$8)</f>
        <v/>
      </c>
      <c r="H29" s="110">
        <f>FV((((1+$C$10+(0.02))/(1+$C$11))-1)/12,E29*12,-$C$9,-$C$8)</f>
        <v/>
      </c>
      <c r="I29" s="111">
        <f>$C$17</f>
        <v/>
      </c>
    </row>
    <row r="30">
      <c r="E30" s="109" t="n">
        <v>22</v>
      </c>
      <c r="F30" s="110">
        <f>FV((((1+$C$10+(-0.02))/(1+$C$11))-1)/12,E30*12,-$C$9,-$C$8)</f>
        <v/>
      </c>
      <c r="G30" s="110">
        <f>FV((((1+$C$10+(0))/(1+$C$11))-1)/12,E30*12,-$C$9,-$C$8)</f>
        <v/>
      </c>
      <c r="H30" s="110">
        <f>FV((((1+$C$10+(0.02))/(1+$C$11))-1)/12,E30*12,-$C$9,-$C$8)</f>
        <v/>
      </c>
      <c r="I30" s="111">
        <f>$C$17</f>
        <v/>
      </c>
    </row>
    <row r="31">
      <c r="E31" s="109" t="n">
        <v>23</v>
      </c>
      <c r="F31" s="110">
        <f>FV((((1+$C$10+(-0.02))/(1+$C$11))-1)/12,E31*12,-$C$9,-$C$8)</f>
        <v/>
      </c>
      <c r="G31" s="110">
        <f>FV((((1+$C$10+(0))/(1+$C$11))-1)/12,E31*12,-$C$9,-$C$8)</f>
        <v/>
      </c>
      <c r="H31" s="110">
        <f>FV((((1+$C$10+(0.02))/(1+$C$11))-1)/12,E31*12,-$C$9,-$C$8)</f>
        <v/>
      </c>
      <c r="I31" s="111">
        <f>$C$17</f>
        <v/>
      </c>
    </row>
    <row r="32">
      <c r="E32" s="109" t="n">
        <v>24</v>
      </c>
      <c r="F32" s="110">
        <f>FV((((1+$C$10+(-0.02))/(1+$C$11))-1)/12,E32*12,-$C$9,-$C$8)</f>
        <v/>
      </c>
      <c r="G32" s="110">
        <f>FV((((1+$C$10+(0))/(1+$C$11))-1)/12,E32*12,-$C$9,-$C$8)</f>
        <v/>
      </c>
      <c r="H32" s="110">
        <f>FV((((1+$C$10+(0.02))/(1+$C$11))-1)/12,E32*12,-$C$9,-$C$8)</f>
        <v/>
      </c>
      <c r="I32" s="111">
        <f>$C$17</f>
        <v/>
      </c>
    </row>
    <row r="33">
      <c r="E33" s="109" t="n">
        <v>25</v>
      </c>
      <c r="F33" s="110">
        <f>FV((((1+$C$10+(-0.02))/(1+$C$11))-1)/12,E33*12,-$C$9,-$C$8)</f>
        <v/>
      </c>
      <c r="G33" s="110">
        <f>FV((((1+$C$10+(0))/(1+$C$11))-1)/12,E33*12,-$C$9,-$C$8)</f>
        <v/>
      </c>
      <c r="H33" s="110">
        <f>FV((((1+$C$10+(0.02))/(1+$C$11))-1)/12,E33*12,-$C$9,-$C$8)</f>
        <v/>
      </c>
      <c r="I33" s="111">
        <f>$C$17</f>
        <v/>
      </c>
    </row>
    <row r="34">
      <c r="E34" s="109" t="n">
        <v>26</v>
      </c>
      <c r="F34" s="110">
        <f>FV((((1+$C$10+(-0.02))/(1+$C$11))-1)/12,E34*12,-$C$9,-$C$8)</f>
        <v/>
      </c>
      <c r="G34" s="110">
        <f>FV((((1+$C$10+(0))/(1+$C$11))-1)/12,E34*12,-$C$9,-$C$8)</f>
        <v/>
      </c>
      <c r="H34" s="110">
        <f>FV((((1+$C$10+(0.02))/(1+$C$11))-1)/12,E34*12,-$C$9,-$C$8)</f>
        <v/>
      </c>
      <c r="I34" s="111">
        <f>$C$17</f>
        <v/>
      </c>
    </row>
    <row r="35">
      <c r="E35" s="109" t="n">
        <v>27</v>
      </c>
      <c r="F35" s="110">
        <f>FV((((1+$C$10+(-0.02))/(1+$C$11))-1)/12,E35*12,-$C$9,-$C$8)</f>
        <v/>
      </c>
      <c r="G35" s="110">
        <f>FV((((1+$C$10+(0))/(1+$C$11))-1)/12,E35*12,-$C$9,-$C$8)</f>
        <v/>
      </c>
      <c r="H35" s="110">
        <f>FV((((1+$C$10+(0.02))/(1+$C$11))-1)/12,E35*12,-$C$9,-$C$8)</f>
        <v/>
      </c>
      <c r="I35" s="111">
        <f>$C$17</f>
        <v/>
      </c>
    </row>
    <row r="36">
      <c r="E36" s="109" t="n">
        <v>28</v>
      </c>
      <c r="F36" s="110">
        <f>FV((((1+$C$10+(-0.02))/(1+$C$11))-1)/12,E36*12,-$C$9,-$C$8)</f>
        <v/>
      </c>
      <c r="G36" s="110">
        <f>FV((((1+$C$10+(0))/(1+$C$11))-1)/12,E36*12,-$C$9,-$C$8)</f>
        <v/>
      </c>
      <c r="H36" s="110">
        <f>FV((((1+$C$10+(0.02))/(1+$C$11))-1)/12,E36*12,-$C$9,-$C$8)</f>
        <v/>
      </c>
      <c r="I36" s="111">
        <f>$C$17</f>
        <v/>
      </c>
    </row>
    <row r="37">
      <c r="E37" s="109" t="n">
        <v>29</v>
      </c>
      <c r="F37" s="110">
        <f>FV((((1+$C$10+(-0.02))/(1+$C$11))-1)/12,E37*12,-$C$9,-$C$8)</f>
        <v/>
      </c>
      <c r="G37" s="110">
        <f>FV((((1+$C$10+(0))/(1+$C$11))-1)/12,E37*12,-$C$9,-$C$8)</f>
        <v/>
      </c>
      <c r="H37" s="110">
        <f>FV((((1+$C$10+(0.02))/(1+$C$11))-1)/12,E37*12,-$C$9,-$C$8)</f>
        <v/>
      </c>
      <c r="I37" s="111">
        <f>$C$17</f>
        <v/>
      </c>
    </row>
    <row r="38">
      <c r="E38" s="109" t="n">
        <v>30</v>
      </c>
      <c r="F38" s="110">
        <f>FV((((1+$C$10+(-0.02))/(1+$C$11))-1)/12,E38*12,-$C$9,-$C$8)</f>
        <v/>
      </c>
      <c r="G38" s="110">
        <f>FV((((1+$C$10+(0))/(1+$C$11))-1)/12,E38*12,-$C$9,-$C$8)</f>
        <v/>
      </c>
      <c r="H38" s="110">
        <f>FV((((1+$C$10+(0.02))/(1+$C$11))-1)/12,E38*12,-$C$9,-$C$8)</f>
        <v/>
      </c>
      <c r="I38" s="111">
        <f>$C$17</f>
        <v/>
      </c>
    </row>
    <row r="39">
      <c r="E39" s="109" t="n">
        <v>31</v>
      </c>
      <c r="F39" s="110">
        <f>FV((((1+$C$10+(-0.02))/(1+$C$11))-1)/12,E39*12,-$C$9,-$C$8)</f>
        <v/>
      </c>
      <c r="G39" s="110">
        <f>FV((((1+$C$10+(0))/(1+$C$11))-1)/12,E39*12,-$C$9,-$C$8)</f>
        <v/>
      </c>
      <c r="H39" s="110">
        <f>FV((((1+$C$10+(0.02))/(1+$C$11))-1)/12,E39*12,-$C$9,-$C$8)</f>
        <v/>
      </c>
      <c r="I39" s="111">
        <f>$C$17</f>
        <v/>
      </c>
    </row>
    <row r="40">
      <c r="E40" s="109" t="n">
        <v>32</v>
      </c>
      <c r="F40" s="110">
        <f>FV((((1+$C$10+(-0.02))/(1+$C$11))-1)/12,E40*12,-$C$9,-$C$8)</f>
        <v/>
      </c>
      <c r="G40" s="110">
        <f>FV((((1+$C$10+(0))/(1+$C$11))-1)/12,E40*12,-$C$9,-$C$8)</f>
        <v/>
      </c>
      <c r="H40" s="110">
        <f>FV((((1+$C$10+(0.02))/(1+$C$11))-1)/12,E40*12,-$C$9,-$C$8)</f>
        <v/>
      </c>
      <c r="I40" s="111">
        <f>$C$17</f>
        <v/>
      </c>
    </row>
    <row r="41">
      <c r="E41" s="109" t="n">
        <v>33</v>
      </c>
      <c r="F41" s="110">
        <f>FV((((1+$C$10+(-0.02))/(1+$C$11))-1)/12,E41*12,-$C$9,-$C$8)</f>
        <v/>
      </c>
      <c r="G41" s="110">
        <f>FV((((1+$C$10+(0))/(1+$C$11))-1)/12,E41*12,-$C$9,-$C$8)</f>
        <v/>
      </c>
      <c r="H41" s="110">
        <f>FV((((1+$C$10+(0.02))/(1+$C$11))-1)/12,E41*12,-$C$9,-$C$8)</f>
        <v/>
      </c>
      <c r="I41" s="111">
        <f>$C$17</f>
        <v/>
      </c>
    </row>
    <row r="42">
      <c r="E42" s="109" t="n">
        <v>34</v>
      </c>
      <c r="F42" s="110">
        <f>FV((((1+$C$10+(-0.02))/(1+$C$11))-1)/12,E42*12,-$C$9,-$C$8)</f>
        <v/>
      </c>
      <c r="G42" s="110">
        <f>FV((((1+$C$10+(0))/(1+$C$11))-1)/12,E42*12,-$C$9,-$C$8)</f>
        <v/>
      </c>
      <c r="H42" s="110">
        <f>FV((((1+$C$10+(0.02))/(1+$C$11))-1)/12,E42*12,-$C$9,-$C$8)</f>
        <v/>
      </c>
      <c r="I42" s="111">
        <f>$C$17</f>
        <v/>
      </c>
    </row>
    <row r="43">
      <c r="E43" s="109" t="n">
        <v>35</v>
      </c>
      <c r="F43" s="110">
        <f>FV((((1+$C$10+(-0.02))/(1+$C$11))-1)/12,E43*12,-$C$9,-$C$8)</f>
        <v/>
      </c>
      <c r="G43" s="110">
        <f>FV((((1+$C$10+(0))/(1+$C$11))-1)/12,E43*12,-$C$9,-$C$8)</f>
        <v/>
      </c>
      <c r="H43" s="110">
        <f>FV((((1+$C$10+(0.02))/(1+$C$11))-1)/12,E43*12,-$C$9,-$C$8)</f>
        <v/>
      </c>
      <c r="I43" s="111">
        <f>$C$17</f>
        <v/>
      </c>
    </row>
    <row r="44">
      <c r="E44" s="109" t="n">
        <v>36</v>
      </c>
      <c r="F44" s="110">
        <f>FV((((1+$C$10+(-0.02))/(1+$C$11))-1)/12,E44*12,-$C$9,-$C$8)</f>
        <v/>
      </c>
      <c r="G44" s="110">
        <f>FV((((1+$C$10+(0))/(1+$C$11))-1)/12,E44*12,-$C$9,-$C$8)</f>
        <v/>
      </c>
      <c r="H44" s="110">
        <f>FV((((1+$C$10+(0.02))/(1+$C$11))-1)/12,E44*12,-$C$9,-$C$8)</f>
        <v/>
      </c>
      <c r="I44" s="111">
        <f>$C$17</f>
        <v/>
      </c>
    </row>
    <row r="45">
      <c r="E45" s="109" t="n">
        <v>37</v>
      </c>
      <c r="F45" s="110">
        <f>FV((((1+$C$10+(-0.02))/(1+$C$11))-1)/12,E45*12,-$C$9,-$C$8)</f>
        <v/>
      </c>
      <c r="G45" s="110">
        <f>FV((((1+$C$10+(0))/(1+$C$11))-1)/12,E45*12,-$C$9,-$C$8)</f>
        <v/>
      </c>
      <c r="H45" s="110">
        <f>FV((((1+$C$10+(0.02))/(1+$C$11))-1)/12,E45*12,-$C$9,-$C$8)</f>
        <v/>
      </c>
      <c r="I45" s="111">
        <f>$C$17</f>
        <v/>
      </c>
    </row>
    <row r="46">
      <c r="E46" s="109" t="n">
        <v>38</v>
      </c>
      <c r="F46" s="110">
        <f>FV((((1+$C$10+(-0.02))/(1+$C$11))-1)/12,E46*12,-$C$9,-$C$8)</f>
        <v/>
      </c>
      <c r="G46" s="110">
        <f>FV((((1+$C$10+(0))/(1+$C$11))-1)/12,E46*12,-$C$9,-$C$8)</f>
        <v/>
      </c>
      <c r="H46" s="110">
        <f>FV((((1+$C$10+(0.02))/(1+$C$11))-1)/12,E46*12,-$C$9,-$C$8)</f>
        <v/>
      </c>
      <c r="I46" s="111">
        <f>$C$17</f>
        <v/>
      </c>
    </row>
    <row r="47">
      <c r="E47" s="109" t="n">
        <v>39</v>
      </c>
      <c r="F47" s="110">
        <f>FV((((1+$C$10+(-0.02))/(1+$C$11))-1)/12,E47*12,-$C$9,-$C$8)</f>
        <v/>
      </c>
      <c r="G47" s="110">
        <f>FV((((1+$C$10+(0))/(1+$C$11))-1)/12,E47*12,-$C$9,-$C$8)</f>
        <v/>
      </c>
      <c r="H47" s="110">
        <f>FV((((1+$C$10+(0.02))/(1+$C$11))-1)/12,E47*12,-$C$9,-$C$8)</f>
        <v/>
      </c>
      <c r="I47" s="111">
        <f>$C$17</f>
        <v/>
      </c>
    </row>
    <row r="48">
      <c r="E48" s="109" t="n">
        <v>40</v>
      </c>
      <c r="F48" s="110">
        <f>FV((((1+$C$10+(-0.02))/(1+$C$11))-1)/12,E48*12,-$C$9,-$C$8)</f>
        <v/>
      </c>
      <c r="G48" s="110">
        <f>FV((((1+$C$10+(0))/(1+$C$11))-1)/12,E48*12,-$C$9,-$C$8)</f>
        <v/>
      </c>
      <c r="H48" s="110">
        <f>FV((((1+$C$10+(0.02))/(1+$C$11))-1)/12,E48*12,-$C$9,-$C$8)</f>
        <v/>
      </c>
      <c r="I48" s="111">
        <f>$C$17</f>
        <v/>
      </c>
    </row>
  </sheetData>
  <mergeCells count="5">
    <mergeCell ref="B6:C6"/>
    <mergeCell ref="B24:C24"/>
    <mergeCell ref="Q2:R2"/>
    <mergeCell ref="B15:C15"/>
    <mergeCell ref="E6:I6"/>
  </mergeCells>
  <hyperlinks>
    <hyperlink ref="Q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EF4444"/>
    <outlinePr summaryBelow="1" summaryRight="1"/>
    <pageSetUpPr fitToPage="1"/>
  </sheetPr>
  <dimension ref="A1:Q35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30" customHeight="1">
      <c r="A2" s="1" t="n"/>
      <c r="B2" s="31" t="inlineStr">
        <is>
          <t>Risk check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32" t="inlineStr">
        <is>
          <t>← Accueil</t>
        </is>
      </c>
      <c r="P2" s="1" t="n"/>
      <c r="Q2" s="1" t="n"/>
    </row>
    <row r="3" ht="18" customHeight="1">
      <c r="A3" s="1" t="n"/>
      <c r="B3" s="4" t="inlineStr">
        <is>
          <t>Concentration, guard-rails and a stress test: what happens if markets fall?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</row>
    <row r="6" ht="24" customHeight="1">
      <c r="B6" s="119" t="inlineStr">
        <is>
          <t>CONCENTRATION</t>
        </is>
      </c>
      <c r="C6" s="120" t="n"/>
    </row>
    <row r="7" ht="22" customHeight="1">
      <c r="B7" s="108" t="inlineStr">
        <is>
          <t>Number of holdings</t>
        </is>
      </c>
      <c r="C7" s="121">
        <f>COUNT('Holdings'!$K$7:$K$46)</f>
        <v/>
      </c>
    </row>
    <row r="8" ht="22" customHeight="1">
      <c r="B8" s="108" t="inlineStr">
        <is>
          <t>Largest position</t>
        </is>
      </c>
      <c r="C8" s="115">
        <f>IFERROR(MAX('Holdings'!$R$7:$R$46),0)</f>
        <v/>
      </c>
    </row>
    <row r="9" ht="22" customHeight="1">
      <c r="B9" s="108" t="inlineStr">
        <is>
          <t>Top 3 positions</t>
        </is>
      </c>
      <c r="C9" s="115">
        <f>IFERROR(LARGE('Holdings'!$R$7:$R$46,1)+LARGE('Holdings'!$R$7:$R$46,2)+LARGE('Holdings'!$R$7:$R$46,3),SUM('Holdings'!$R$7:$R$46))</f>
        <v/>
      </c>
    </row>
    <row r="10" ht="22" customHeight="1">
      <c r="B10" s="108" t="inlineStr">
        <is>
          <t>Concentration index (HHI)</t>
        </is>
      </c>
      <c r="C10" s="122">
        <f>IFERROR(SUMPRODUCT('Data'!$B$5:$B$44,'Data'!$B$5:$B$44)/SUM('Data'!$B$5:$B$44)^2,0)</f>
        <v/>
      </c>
    </row>
    <row r="11" ht="22" customHeight="1">
      <c r="B11" s="108" t="inlineStr">
        <is>
          <t>Effective number of holdings</t>
        </is>
      </c>
      <c r="C11" s="116">
        <f>IF(C10=0,0,1/C10)</f>
        <v/>
      </c>
    </row>
    <row r="12" ht="22" customHeight="1">
      <c r="B12" s="108" t="inlineStr">
        <is>
          <t>Positions above your max size</t>
        </is>
      </c>
      <c r="C12" s="121">
        <f>COUNTIF('Holdings'!$R$7:$R$46,"&gt;"&amp;'Settings'!$C$12)</f>
        <v/>
      </c>
    </row>
    <row r="14" ht="54" customHeight="1">
      <c r="B14" s="118" t="inlineStr">
        <is>
          <t>HHI is the sum of squared weights. The effective number of holdings is 1 / HHI: it tells you how many equally sized positions your portfolio behaves like. 10 or more is a well-spread portfolio; below 5 means concentration risk.</t>
        </is>
      </c>
      <c r="C14" s="118" t="n"/>
      <c r="D14" s="118" t="n"/>
      <c r="E14" s="118" t="n"/>
      <c r="F14" s="118" t="n"/>
      <c r="G14" s="118" t="n"/>
    </row>
    <row r="16" ht="24" customHeight="1">
      <c r="B16" s="37" t="inlineStr">
        <is>
          <t>STRESS TEST (sensitivity to a market fall, by asset class)</t>
        </is>
      </c>
      <c r="C16" s="38" t="n"/>
      <c r="D16" s="38" t="n"/>
      <c r="E16" s="38" t="n"/>
      <c r="F16" s="38" t="n"/>
      <c r="G16" s="38" t="n"/>
    </row>
    <row r="17">
      <c r="B17" s="67" t="inlineStr">
        <is>
          <t>Asset class</t>
        </is>
      </c>
      <c r="C17" s="67" t="inlineStr">
        <is>
          <t>Value</t>
        </is>
      </c>
      <c r="D17" s="67" t="inlineStr">
        <is>
          <t>Sensitivity (beta)</t>
        </is>
      </c>
    </row>
    <row r="18" ht="20" customHeight="1">
      <c r="B18" s="96">
        <f>'Allocation'!B10</f>
        <v/>
      </c>
      <c r="C18" s="74">
        <f>N('Allocation'!D10)</f>
        <v/>
      </c>
      <c r="D18" s="123" t="n">
        <v>1</v>
      </c>
    </row>
    <row r="19" ht="20" customHeight="1">
      <c r="B19" s="96">
        <f>'Allocation'!B11</f>
        <v/>
      </c>
      <c r="C19" s="74">
        <f>N('Allocation'!D11)</f>
        <v/>
      </c>
      <c r="D19" s="123" t="n">
        <v>0.9</v>
      </c>
    </row>
    <row r="20" ht="20" customHeight="1">
      <c r="B20" s="96">
        <f>'Allocation'!B12</f>
        <v/>
      </c>
      <c r="C20" s="74">
        <f>N('Allocation'!D12)</f>
        <v/>
      </c>
      <c r="D20" s="123" t="n">
        <v>0.2</v>
      </c>
    </row>
    <row r="21" ht="20" customHeight="1">
      <c r="B21" s="96">
        <f>'Allocation'!B13</f>
        <v/>
      </c>
      <c r="C21" s="74">
        <f>N('Allocation'!D13)</f>
        <v/>
      </c>
      <c r="D21" s="123" t="n">
        <v>1.6</v>
      </c>
    </row>
    <row r="22" ht="20" customHeight="1">
      <c r="B22" s="96">
        <f>'Allocation'!B14</f>
        <v/>
      </c>
      <c r="C22" s="74">
        <f>N('Allocation'!D14)</f>
        <v/>
      </c>
      <c r="D22" s="123" t="n">
        <v>0.7</v>
      </c>
    </row>
    <row r="23" ht="20" customHeight="1">
      <c r="B23" s="96">
        <f>'Allocation'!B15</f>
        <v/>
      </c>
      <c r="C23" s="74">
        <f>N('Allocation'!D15)</f>
        <v/>
      </c>
      <c r="D23" s="123" t="n">
        <v>0.4</v>
      </c>
    </row>
    <row r="24" ht="20" customHeight="1">
      <c r="B24" s="96">
        <f>'Allocation'!B16</f>
        <v/>
      </c>
      <c r="C24" s="74">
        <f>N('Allocation'!D16)</f>
        <v/>
      </c>
      <c r="D24" s="123" t="n">
        <v>0</v>
      </c>
    </row>
    <row r="25" ht="20" customHeight="1">
      <c r="B25" s="96">
        <f>'Allocation'!B17</f>
        <v/>
      </c>
      <c r="C25" s="74">
        <f>N('Allocation'!D17)</f>
        <v/>
      </c>
      <c r="D25" s="123" t="n">
        <v>1</v>
      </c>
    </row>
    <row r="27">
      <c r="B27" s="124" t="inlineStr">
        <is>
          <t>Market fall scenario</t>
        </is>
      </c>
      <c r="C27" s="67" t="inlineStr">
        <is>
          <t>Portfolio loss</t>
        </is>
      </c>
      <c r="D27" s="67" t="inlineStr">
        <is>
          <t>Loss %</t>
        </is>
      </c>
      <c r="E27" s="67" t="inlineStr">
        <is>
          <t>Value after</t>
        </is>
      </c>
    </row>
    <row r="28" ht="21" customHeight="1">
      <c r="B28" s="125" t="n">
        <v>-0.1</v>
      </c>
      <c r="C28" s="84">
        <f>SUMPRODUCT($C$18:$C$25,$D$18:$D$25)*B28</f>
        <v/>
      </c>
      <c r="D28" s="83">
        <f>IF(SUM($C$18:$C$25)=0,0,C28/SUM($C$18:$C$25))</f>
        <v/>
      </c>
      <c r="E28" s="74">
        <f>SUM($C$18:$C$25)+C28</f>
        <v/>
      </c>
    </row>
    <row r="29" ht="21" customHeight="1">
      <c r="B29" s="125" t="n">
        <v>-0.2</v>
      </c>
      <c r="C29" s="84">
        <f>SUMPRODUCT($C$18:$C$25,$D$18:$D$25)*B29</f>
        <v/>
      </c>
      <c r="D29" s="83">
        <f>IF(SUM($C$18:$C$25)=0,0,C29/SUM($C$18:$C$25))</f>
        <v/>
      </c>
      <c r="E29" s="74">
        <f>SUM($C$18:$C$25)+C29</f>
        <v/>
      </c>
    </row>
    <row r="30" ht="21" customHeight="1">
      <c r="B30" s="125" t="n">
        <v>-0.3</v>
      </c>
      <c r="C30" s="84">
        <f>SUMPRODUCT($C$18:$C$25,$D$18:$D$25)*B30</f>
        <v/>
      </c>
      <c r="D30" s="83">
        <f>IF(SUM($C$18:$C$25)=0,0,C30/SUM($C$18:$C$25))</f>
        <v/>
      </c>
      <c r="E30" s="74">
        <f>SUM($C$18:$C$25)+C30</f>
        <v/>
      </c>
    </row>
    <row r="31" ht="21" customHeight="1">
      <c r="B31" s="125" t="n">
        <v>-0.4</v>
      </c>
      <c r="C31" s="84">
        <f>SUMPRODUCT($C$18:$C$25,$D$18:$D$25)*B31</f>
        <v/>
      </c>
      <c r="D31" s="83">
        <f>IF(SUM($C$18:$C$25)=0,0,C31/SUM($C$18:$C$25))</f>
        <v/>
      </c>
      <c r="E31" s="74">
        <f>SUM($C$18:$C$25)+C31</f>
        <v/>
      </c>
    </row>
    <row r="32" ht="21" customHeight="1">
      <c r="B32" s="125" t="n">
        <v>-0.5</v>
      </c>
      <c r="C32" s="84">
        <f>SUMPRODUCT($C$18:$C$25,$D$18:$D$25)*B32</f>
        <v/>
      </c>
      <c r="D32" s="83">
        <f>IF(SUM($C$18:$C$25)=0,0,C32/SUM($C$18:$C$25))</f>
        <v/>
      </c>
      <c r="E32" s="74">
        <f>SUM($C$18:$C$25)+C32</f>
        <v/>
      </c>
    </row>
    <row r="34">
      <c r="B34" s="118" t="inlineStr">
        <is>
          <t>Sensitivity (beta) is an editable assumption: 1.0 moves like the broad stock market, 0 does not move, 1.5 moves 50% more. Real crises can be harsher or milder, this is a planning tool.</t>
        </is>
      </c>
      <c r="C34" s="118" t="n"/>
      <c r="D34" s="118" t="n"/>
      <c r="E34" s="118" t="n"/>
      <c r="F34" s="118" t="n"/>
      <c r="G34" s="118" t="n"/>
    </row>
    <row r="35">
      <c r="B35" s="118" t="n"/>
      <c r="C35" s="118" t="n"/>
      <c r="D35" s="118" t="n"/>
      <c r="E35" s="118" t="n"/>
      <c r="F35" s="118" t="n"/>
      <c r="G35" s="118" t="n"/>
    </row>
  </sheetData>
  <mergeCells count="5">
    <mergeCell ref="B16:G16"/>
    <mergeCell ref="B6:C6"/>
    <mergeCell ref="O2:P2"/>
    <mergeCell ref="B34:G35"/>
    <mergeCell ref="B14:G14"/>
  </mergeCells>
  <conditionalFormatting sqref="C28:D32">
    <cfRule type="cellIs" priority="1" operator="lessThan" dxfId="4">
      <formula>0</formula>
    </cfRule>
    <cfRule type="cellIs" priority="2" operator="greaterThan" dxfId="5">
      <formula>0</formula>
    </cfRule>
  </conditionalFormatting>
  <hyperlinks>
    <hyperlink ref="O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N3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8" customWidth="1" min="2" max="2"/>
    <col width="18" customWidth="1" min="3" max="3"/>
    <col width="40" customWidth="1" min="4" max="4"/>
    <col width="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1" t="n"/>
      <c r="B2" s="31" t="inlineStr">
        <is>
          <t>Calculators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32" t="inlineStr">
        <is>
          <t>← Accueil</t>
        </is>
      </c>
      <c r="M2" s="1" t="n"/>
      <c r="N2" s="1" t="n"/>
    </row>
    <row r="3" ht="18" customHeight="1">
      <c r="A3" s="1" t="n"/>
      <c r="B3" s="4" t="inlineStr">
        <is>
          <t>Quick investing tools: CAGR, compounding, break-even after fees, position size and the rule of 72.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6" ht="24" customHeight="1">
      <c r="B6" s="13" t="inlineStr">
        <is>
          <t>1 · CAGR (compound annual growth rate)</t>
        </is>
      </c>
      <c r="C6" s="14" t="n"/>
      <c r="D6" s="14" t="n"/>
    </row>
    <row r="7" ht="23" customHeight="1">
      <c r="B7" s="108" t="inlineStr">
        <is>
          <t>Starting value</t>
        </is>
      </c>
      <c r="C7" s="45" t="n">
        <v>10000</v>
      </c>
    </row>
    <row r="8" ht="23" customHeight="1">
      <c r="B8" s="108" t="inlineStr">
        <is>
          <t>Ending value</t>
        </is>
      </c>
      <c r="C8" s="45" t="n">
        <v>16500</v>
      </c>
    </row>
    <row r="9" ht="23" customHeight="1">
      <c r="B9" s="108" t="inlineStr">
        <is>
          <t>Years</t>
        </is>
      </c>
      <c r="C9" s="123" t="n">
        <v>5</v>
      </c>
    </row>
    <row r="10" ht="23" customHeight="1">
      <c r="B10" s="108" t="inlineStr">
        <is>
          <t>CAGR</t>
        </is>
      </c>
      <c r="C10" s="126">
        <f>IFERROR((C8/C7)^(1/C9)-1,0)</f>
        <v/>
      </c>
      <c r="D10" s="42" t="inlineStr">
        <is>
          <t>Smooth yearly growth rate.</t>
        </is>
      </c>
    </row>
    <row r="12" ht="24" customHeight="1">
      <c r="B12" s="18" t="inlineStr">
        <is>
          <t>2 · COMPOUNDING WITH CONTRIBUTIONS</t>
        </is>
      </c>
      <c r="C12" s="19" t="n"/>
      <c r="D12" s="19" t="n"/>
    </row>
    <row r="13" ht="23" customHeight="1">
      <c r="B13" s="108" t="inlineStr">
        <is>
          <t>Starting amount</t>
        </is>
      </c>
      <c r="C13" s="45" t="n">
        <v>5000</v>
      </c>
    </row>
    <row r="14" ht="23" customHeight="1">
      <c r="B14" s="108" t="inlineStr">
        <is>
          <t>Monthly contribution</t>
        </is>
      </c>
      <c r="C14" s="45" t="n">
        <v>500</v>
      </c>
    </row>
    <row r="15" ht="23" customHeight="1">
      <c r="B15" s="108" t="inlineStr">
        <is>
          <t>Yearly return</t>
        </is>
      </c>
      <c r="C15" s="112" t="n">
        <v>0.07000000000000001</v>
      </c>
    </row>
    <row r="16" ht="23" customHeight="1">
      <c r="B16" s="108" t="inlineStr">
        <is>
          <t>Years</t>
        </is>
      </c>
      <c r="C16" s="44" t="n">
        <v>25</v>
      </c>
    </row>
    <row r="17" ht="23" customHeight="1">
      <c r="B17" s="108" t="inlineStr">
        <is>
          <t>Final value</t>
        </is>
      </c>
      <c r="C17" s="114">
        <f>FV(C15/12,C16*12,-C14,-C13)</f>
        <v/>
      </c>
    </row>
    <row r="18" ht="23" customHeight="1">
      <c r="B18" s="108" t="inlineStr">
        <is>
          <t>Of which you contributed</t>
        </is>
      </c>
      <c r="C18" s="117">
        <f>C13+C14*12*C16</f>
        <v/>
      </c>
    </row>
    <row r="19" ht="23" customHeight="1">
      <c r="B19" s="108" t="inlineStr">
        <is>
          <t>Of which growth</t>
        </is>
      </c>
      <c r="C19" s="114">
        <f>C17-C18</f>
        <v/>
      </c>
      <c r="D19" s="42" t="inlineStr">
        <is>
          <t>The market did this part.</t>
        </is>
      </c>
    </row>
    <row r="21" ht="24" customHeight="1">
      <c r="B21" s="37" t="inlineStr">
        <is>
          <t>3 · BREAK-EVEN AFTER FEES</t>
        </is>
      </c>
      <c r="C21" s="38" t="n"/>
      <c r="D21" s="38" t="n"/>
    </row>
    <row r="22" ht="23" customHeight="1">
      <c r="B22" s="108" t="inlineStr">
        <is>
          <t>Fee per trade (entry or exit)</t>
        </is>
      </c>
      <c r="C22" s="127" t="n">
        <v>0.001</v>
      </c>
    </row>
    <row r="23" ht="23" customHeight="1">
      <c r="B23" s="108" t="inlineStr">
        <is>
          <t>Annual fund fee (expense ratio)</t>
        </is>
      </c>
      <c r="C23" s="127" t="n">
        <v>0.002</v>
      </c>
    </row>
    <row r="24" ht="23" customHeight="1">
      <c r="B24" s="108" t="inlineStr">
        <is>
          <t>Gain needed to break even on a round trip</t>
        </is>
      </c>
      <c r="C24" s="126">
        <f>C22*2</f>
        <v/>
      </c>
      <c r="D24" s="42" t="inlineStr">
        <is>
          <t>Entry plus exit.</t>
        </is>
      </c>
    </row>
    <row r="25" ht="23" customHeight="1">
      <c r="B25" s="108" t="inlineStr">
        <is>
          <t>Fund fee over 20 years (share of value)</t>
        </is>
      </c>
      <c r="C25" s="85">
        <f>1-(1-C23)^20</f>
        <v/>
      </c>
      <c r="D25" s="42" t="inlineStr">
        <is>
          <t>Cumulative drag of the expense ratio.</t>
        </is>
      </c>
    </row>
    <row r="27" ht="24" customHeight="1">
      <c r="B27" s="22" t="inlineStr">
        <is>
          <t>4 · POSITION SIZE</t>
        </is>
      </c>
      <c r="C27" s="23" t="n"/>
      <c r="D27" s="23" t="n"/>
    </row>
    <row r="28" ht="23" customHeight="1">
      <c r="B28" s="108" t="inlineStr">
        <is>
          <t>Portfolio value</t>
        </is>
      </c>
      <c r="C28" s="45">
        <f>C8</f>
        <v/>
      </c>
    </row>
    <row r="29" ht="23" customHeight="1">
      <c r="B29" s="108" t="inlineStr">
        <is>
          <t>Max risk on this position</t>
        </is>
      </c>
      <c r="C29" s="112" t="n">
        <v>0.01</v>
      </c>
    </row>
    <row r="30" ht="23" customHeight="1">
      <c r="B30" s="108" t="inlineStr">
        <is>
          <t>Entry price</t>
        </is>
      </c>
      <c r="C30" s="128" t="n">
        <v>50</v>
      </c>
    </row>
    <row r="31" ht="23" customHeight="1">
      <c r="B31" s="108" t="inlineStr">
        <is>
          <t>Stop / exit if wrong</t>
        </is>
      </c>
      <c r="C31" s="128" t="n">
        <v>44</v>
      </c>
    </row>
    <row r="32" ht="23" customHeight="1">
      <c r="B32" s="108" t="inlineStr">
        <is>
          <t>Shares to buy</t>
        </is>
      </c>
      <c r="C32" s="129">
        <f>IFERROR(C28*C29/ABS(C30-C31),0)</f>
        <v/>
      </c>
    </row>
    <row r="33" ht="23" customHeight="1">
      <c r="B33" s="108" t="inlineStr">
        <is>
          <t>Position value</t>
        </is>
      </c>
      <c r="C33" s="114">
        <f>C32*C30</f>
        <v/>
      </c>
    </row>
    <row r="34" ht="23" customHeight="1">
      <c r="B34" s="108" t="inlineStr">
        <is>
          <t>Share of portfolio</t>
        </is>
      </c>
      <c r="C34" s="85">
        <f>IF(C28=0,0,C33/C28)</f>
        <v/>
      </c>
    </row>
    <row r="36" ht="24" customHeight="1">
      <c r="B36" s="13" t="inlineStr">
        <is>
          <t>5 · RULE OF 72</t>
        </is>
      </c>
      <c r="C36" s="14" t="n"/>
      <c r="D36" s="14" t="n"/>
    </row>
    <row r="37" ht="23" customHeight="1">
      <c r="B37" s="108" t="inlineStr">
        <is>
          <t>Yearly return</t>
        </is>
      </c>
      <c r="C37" s="112" t="n">
        <v>0.08</v>
      </c>
    </row>
    <row r="38" ht="23" customHeight="1">
      <c r="B38" s="108" t="inlineStr">
        <is>
          <t>Years to double your money</t>
        </is>
      </c>
      <c r="C38" s="116">
        <f>IFERROR(72/(C37*100),0)</f>
        <v/>
      </c>
      <c r="D38" s="42" t="inlineStr">
        <is>
          <t>A fast mental estimate.</t>
        </is>
      </c>
    </row>
  </sheetData>
  <mergeCells count="6">
    <mergeCell ref="L2:M2"/>
    <mergeCell ref="B36:D36"/>
    <mergeCell ref="B27:D27"/>
    <mergeCell ref="B21:D21"/>
    <mergeCell ref="B12:D12"/>
    <mergeCell ref="B6:D6"/>
  </mergeCells>
  <hyperlinks>
    <hyperlink ref="L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F30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36" customWidth="1" min="3" max="3"/>
    <col width="54" customWidth="1" min="4" max="4"/>
    <col width="52" customWidth="1" min="5" max="5"/>
    <col width="2" customWidth="1" min="6" max="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</row>
    <row r="2" ht="30" customHeight="1">
      <c r="A2" s="1" t="n"/>
      <c r="B2" s="31" t="inlineStr">
        <is>
          <t>Investor playbook</t>
        </is>
      </c>
      <c r="C2" s="1" t="n"/>
      <c r="D2" s="32" t="inlineStr">
        <is>
          <t>← Accueil</t>
        </is>
      </c>
      <c r="E2" s="1" t="n"/>
      <c r="F2" s="1" t="n"/>
    </row>
    <row r="3" ht="18" customHeight="1">
      <c r="A3" s="1" t="n"/>
      <c r="B3" s="4" t="inlineStr">
        <is>
          <t>24 principles that keep long-term investors on track.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6" ht="28" customHeight="1">
      <c r="B6" s="67" t="inlineStr">
        <is>
          <t>Area</t>
        </is>
      </c>
      <c r="C6" s="124" t="inlineStr">
        <is>
          <t>Principle</t>
        </is>
      </c>
      <c r="D6" s="124" t="inlineStr">
        <is>
          <t>Why it matters</t>
        </is>
      </c>
      <c r="E6" s="124" t="inlineStr">
        <is>
          <t>How to apply it</t>
        </is>
      </c>
    </row>
    <row r="7" ht="34" customHeight="1">
      <c r="B7" s="34" t="inlineStr">
        <is>
          <t>Foundations</t>
        </is>
      </c>
      <c r="C7" s="36" t="inlineStr">
        <is>
          <t>Define your goal and horizon first</t>
        </is>
      </c>
      <c r="D7" s="36" t="inlineStr">
        <is>
          <t>Money needed in 2 years and money needed in 20 years should be invested differently.</t>
        </is>
      </c>
      <c r="E7" s="36" t="inlineStr">
        <is>
          <t>Write one goal and a date in the Planner.</t>
        </is>
      </c>
    </row>
    <row r="8" ht="34" customHeight="1">
      <c r="B8" s="130" t="inlineStr">
        <is>
          <t>Foundations</t>
        </is>
      </c>
      <c r="C8" s="131" t="inlineStr">
        <is>
          <t>Build an emergency fund before investing</t>
        </is>
      </c>
      <c r="D8" s="131" t="inlineStr">
        <is>
          <t>It stops you from selling investments at the worst moment.</t>
        </is>
      </c>
      <c r="E8" s="131" t="inlineStr">
        <is>
          <t>Hold 3 to 6 months of spending in cash.</t>
        </is>
      </c>
    </row>
    <row r="9" ht="24" customHeight="1">
      <c r="B9" s="34" t="inlineStr">
        <is>
          <t>Foundations</t>
        </is>
      </c>
      <c r="C9" s="36" t="inlineStr">
        <is>
          <t>Pay down high-interest debt</t>
        </is>
      </c>
      <c r="D9" s="36" t="inlineStr">
        <is>
          <t>A 20% card rate beats most expected investment returns.</t>
        </is>
      </c>
      <c r="E9" s="36" t="inlineStr">
        <is>
          <t>Clear expensive debt before taking market risk.</t>
        </is>
      </c>
    </row>
    <row r="10" ht="34" customHeight="1">
      <c r="B10" s="130" t="inlineStr">
        <is>
          <t>Foundations</t>
        </is>
      </c>
      <c r="C10" s="131" t="inlineStr">
        <is>
          <t>Invest regularly</t>
        </is>
      </c>
      <c r="D10" s="131" t="inlineStr">
        <is>
          <t>Contributing every month removes the pressure of timing the market.</t>
        </is>
      </c>
      <c r="E10" s="131" t="inlineStr">
        <is>
          <t>Automate a transfer on payday.</t>
        </is>
      </c>
    </row>
    <row r="11" ht="24" customHeight="1">
      <c r="B11" s="34" t="inlineStr">
        <is>
          <t>Strategy</t>
        </is>
      </c>
      <c r="C11" s="36" t="inlineStr">
        <is>
          <t>Diversify across asset classes</t>
        </is>
      </c>
      <c r="D11" s="36" t="inlineStr">
        <is>
          <t>Different assets win in different years.</t>
        </is>
      </c>
      <c r="E11" s="36" t="inlineStr">
        <is>
          <t>Set targets in the Allocation sheet.</t>
        </is>
      </c>
    </row>
    <row r="12" ht="34" customHeight="1">
      <c r="B12" s="130" t="inlineStr">
        <is>
          <t>Strategy</t>
        </is>
      </c>
      <c r="C12" s="131" t="inlineStr">
        <is>
          <t>Keep costs low</t>
        </is>
      </c>
      <c r="D12" s="131" t="inlineStr">
        <is>
          <t>Fees compound against you just as returns compound for you.</t>
        </is>
      </c>
      <c r="E12" s="131" t="inlineStr">
        <is>
          <t>Compare expense ratios and trading fees.</t>
        </is>
      </c>
    </row>
    <row r="13" ht="34" customHeight="1">
      <c r="B13" s="34" t="inlineStr">
        <is>
          <t>Strategy</t>
        </is>
      </c>
      <c r="C13" s="36" t="inlineStr">
        <is>
          <t>Favor broad, simple funds as the core</t>
        </is>
      </c>
      <c r="D13" s="36" t="inlineStr">
        <is>
          <t>Few investors beat the market after fees over long periods.</t>
        </is>
      </c>
      <c r="E13" s="36" t="inlineStr">
        <is>
          <t>Use broad ETFs for the core, a small satellite for ideas.</t>
        </is>
      </c>
    </row>
    <row r="14" ht="24" customHeight="1">
      <c r="B14" s="130" t="inlineStr">
        <is>
          <t>Strategy</t>
        </is>
      </c>
      <c r="C14" s="131" t="inlineStr">
        <is>
          <t>Rebalance on rules, not feelings</t>
        </is>
      </c>
      <c r="D14" s="131" t="inlineStr">
        <is>
          <t>It sells what ran up and buys what lagged.</t>
        </is>
      </c>
      <c r="E14" s="131" t="inlineStr">
        <is>
          <t>Check drift every 6 to 12 months.</t>
        </is>
      </c>
    </row>
    <row r="15" ht="24" customHeight="1">
      <c r="B15" s="34" t="inlineStr">
        <is>
          <t>Strategy</t>
        </is>
      </c>
      <c r="C15" s="36" t="inlineStr">
        <is>
          <t>Size positions by risk</t>
        </is>
      </c>
      <c r="D15" s="36" t="inlineStr">
        <is>
          <t>A single holding should never decide your outcome.</t>
        </is>
      </c>
      <c r="E15" s="36" t="inlineStr">
        <is>
          <t>Keep any position under your max size in Settings.</t>
        </is>
      </c>
    </row>
    <row r="16" ht="24" customHeight="1">
      <c r="B16" s="130" t="inlineStr">
        <is>
          <t>Strategy</t>
        </is>
      </c>
      <c r="C16" s="131" t="inlineStr">
        <is>
          <t>Know why you own each holding</t>
        </is>
      </c>
      <c r="D16" s="131" t="inlineStr">
        <is>
          <t>A written thesis tells you when to sell.</t>
        </is>
      </c>
      <c r="E16" s="131" t="inlineStr">
        <is>
          <t>Use the Watchlist thesis column.</t>
        </is>
      </c>
    </row>
    <row r="17" ht="24" customHeight="1">
      <c r="B17" s="34" t="inlineStr">
        <is>
          <t>Risk</t>
        </is>
      </c>
      <c r="C17" s="36" t="inlineStr">
        <is>
          <t>Understand the worst case</t>
        </is>
      </c>
      <c r="D17" s="36" t="inlineStr">
        <is>
          <t>Knowing a 40% fall is possible prepares you to hold.</t>
        </is>
      </c>
      <c r="E17" s="36" t="inlineStr">
        <is>
          <t>Run the Risk sheet stress test.</t>
        </is>
      </c>
    </row>
    <row r="18" ht="24" customHeight="1">
      <c r="B18" s="130" t="inlineStr">
        <is>
          <t>Risk</t>
        </is>
      </c>
      <c r="C18" s="131" t="inlineStr">
        <is>
          <t>Don't invest money you may need soon</t>
        </is>
      </c>
      <c r="D18" s="131" t="inlineStr">
        <is>
          <t>Forced selling locks in losses.</t>
        </is>
      </c>
      <c r="E18" s="131" t="inlineStr">
        <is>
          <t>Match the horizon to the asset.</t>
        </is>
      </c>
    </row>
    <row r="19" ht="34" customHeight="1">
      <c r="B19" s="34" t="inlineStr">
        <is>
          <t>Risk</t>
        </is>
      </c>
      <c r="C19" s="36" t="inlineStr">
        <is>
          <t>Avoid leverage until you master the basics</t>
        </is>
      </c>
      <c r="D19" s="36" t="inlineStr">
        <is>
          <t>Leverage magnifies mistakes and can wipe out an account.</t>
        </is>
      </c>
      <c r="E19" s="36" t="inlineStr">
        <is>
          <t>Learn with unleveraged positions.</t>
        </is>
      </c>
    </row>
    <row r="20" ht="24" customHeight="1">
      <c r="B20" s="130" t="inlineStr">
        <is>
          <t>Risk</t>
        </is>
      </c>
      <c r="C20" s="131" t="inlineStr">
        <is>
          <t>Beware of concentration in one story</t>
        </is>
      </c>
      <c r="D20" s="131" t="inlineStr">
        <is>
          <t>Employer stock plus a sector bet is double exposure.</t>
        </is>
      </c>
      <c r="E20" s="131" t="inlineStr">
        <is>
          <t>Check the sector table in Allocation.</t>
        </is>
      </c>
    </row>
    <row r="21" ht="24" customHeight="1">
      <c r="B21" s="34" t="inlineStr">
        <is>
          <t>Risk</t>
        </is>
      </c>
      <c r="C21" s="36" t="inlineStr">
        <is>
          <t>Don't chase recent winners</t>
        </is>
      </c>
      <c r="D21" s="36" t="inlineStr">
        <is>
          <t>Last year's best asset is rarely next year's.</t>
        </is>
      </c>
      <c r="E21" s="36" t="inlineStr">
        <is>
          <t>Follow your plan, not the headlines.</t>
        </is>
      </c>
    </row>
    <row r="22" ht="24" customHeight="1">
      <c r="B22" s="130" t="inlineStr">
        <is>
          <t>Behavior</t>
        </is>
      </c>
      <c r="C22" s="131" t="inlineStr">
        <is>
          <t>Review monthly, not daily</t>
        </is>
      </c>
      <c r="D22" s="131" t="inlineStr">
        <is>
          <t>Constant checking leads to emotional decisions.</t>
        </is>
      </c>
      <c r="E22" s="131" t="inlineStr">
        <is>
          <t>Update Performance once a month.</t>
        </is>
      </c>
    </row>
    <row r="23" ht="24" customHeight="1">
      <c r="B23" s="34" t="inlineStr">
        <is>
          <t>Behavior</t>
        </is>
      </c>
      <c r="C23" s="36" t="inlineStr">
        <is>
          <t>Write down your rules</t>
        </is>
      </c>
      <c r="D23" s="36" t="inlineStr">
        <is>
          <t>Rules made calm protect you in panic.</t>
        </is>
      </c>
      <c r="E23" s="36" t="inlineStr">
        <is>
          <t>Keep your rules in the Playbook of your own.</t>
        </is>
      </c>
    </row>
    <row r="24" ht="24" customHeight="1">
      <c r="B24" s="130" t="inlineStr">
        <is>
          <t>Behavior</t>
        </is>
      </c>
      <c r="C24" s="131" t="inlineStr">
        <is>
          <t>Keep a record of every trade</t>
        </is>
      </c>
      <c r="D24" s="131" t="inlineStr">
        <is>
          <t>You cannot improve what you don't measure.</t>
        </is>
      </c>
      <c r="E24" s="131" t="inlineStr">
        <is>
          <t>Log every transaction the same day.</t>
        </is>
      </c>
    </row>
    <row r="25" ht="24" customHeight="1">
      <c r="B25" s="34" t="inlineStr">
        <is>
          <t>Behavior</t>
        </is>
      </c>
      <c r="C25" s="36" t="inlineStr">
        <is>
          <t>Ignore forecasts and noise</t>
        </is>
      </c>
      <c r="D25" s="36" t="inlineStr">
        <is>
          <t>Nobody times markets consistently.</t>
        </is>
      </c>
      <c r="E25" s="36" t="inlineStr">
        <is>
          <t>Limit news to a weekly check.</t>
        </is>
      </c>
    </row>
    <row r="26" ht="24" customHeight="1">
      <c r="B26" s="130" t="inlineStr">
        <is>
          <t>Behavior</t>
        </is>
      </c>
      <c r="C26" s="131" t="inlineStr">
        <is>
          <t>Stay invested through downturns</t>
        </is>
      </c>
      <c r="D26" s="131" t="inlineStr">
        <is>
          <t>Missing the best days destroys long-term returns.</t>
        </is>
      </c>
      <c r="E26" s="131" t="inlineStr">
        <is>
          <t>Re-read your plan before selling in a drop.</t>
        </is>
      </c>
    </row>
    <row r="27" ht="34" customHeight="1">
      <c r="B27" s="34" t="inlineStr">
        <is>
          <t>Income</t>
        </is>
      </c>
      <c r="C27" s="36" t="inlineStr">
        <is>
          <t>Reinvest dividends while you accumulate</t>
        </is>
      </c>
      <c r="D27" s="36" t="inlineStr">
        <is>
          <t>It accelerates compounding.</t>
        </is>
      </c>
      <c r="E27" s="36" t="inlineStr">
        <is>
          <t>Track reinvestments as Buy transactions.</t>
        </is>
      </c>
    </row>
    <row r="28" ht="24" customHeight="1">
      <c r="B28" s="130" t="inlineStr">
        <is>
          <t>Income</t>
        </is>
      </c>
      <c r="C28" s="131" t="inlineStr">
        <is>
          <t>Look at total return, not only yield</t>
        </is>
      </c>
      <c r="D28" s="131" t="inlineStr">
        <is>
          <t>A high yield can hide a falling price.</t>
        </is>
      </c>
      <c r="E28" s="131" t="inlineStr">
        <is>
          <t>Compare total return % in Holdings.</t>
        </is>
      </c>
    </row>
    <row r="29" ht="24" customHeight="1">
      <c r="B29" s="34" t="inlineStr">
        <is>
          <t>Income</t>
        </is>
      </c>
      <c r="C29" s="36" t="inlineStr">
        <is>
          <t>Mind taxes and account types</t>
        </is>
      </c>
      <c r="D29" s="36" t="inlineStr">
        <is>
          <t>Where you hold assets can matter as much as what you hold.</t>
        </is>
      </c>
      <c r="E29" s="36" t="inlineStr">
        <is>
          <t>Use the Account column to see the split.</t>
        </is>
      </c>
    </row>
    <row r="30" ht="24" customHeight="1">
      <c r="B30" s="130" t="inlineStr">
        <is>
          <t>Income</t>
        </is>
      </c>
      <c r="C30" s="131" t="inlineStr">
        <is>
          <t>Define your freedom number</t>
        </is>
      </c>
      <c r="D30" s="131" t="inlineStr">
        <is>
          <t>A number turns vague hopes into a plan.</t>
        </is>
      </c>
      <c r="E30" s="131" t="inlineStr">
        <is>
          <t>Use the Freedom planner.</t>
        </is>
      </c>
    </row>
  </sheetData>
  <mergeCells count="1">
    <mergeCell ref="D2:E2"/>
  </mergeCell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D4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00" customWidth="1" min="3" max="3"/>
    <col width="2" customWidth="1" min="4" max="4"/>
  </cols>
  <sheetData>
    <row r="1" ht="22" customHeight="1">
      <c r="A1" s="1" t="n"/>
      <c r="B1" s="2">
        <f>'Settings'!$C$7</f>
        <v/>
      </c>
      <c r="C1" s="1" t="n"/>
      <c r="D1" s="1" t="n"/>
    </row>
    <row r="2" ht="30" customHeight="1">
      <c r="A2" s="1" t="n"/>
      <c r="B2" s="32" t="inlineStr">
        <is>
          <t>← Accueil</t>
        </is>
      </c>
      <c r="C2" s="1" t="n"/>
      <c r="D2" s="1" t="n"/>
    </row>
    <row r="3" ht="18" customHeight="1">
      <c r="A3" s="1" t="n"/>
      <c r="B3" s="4" t="inlineStr">
        <is>
          <t>Investing terms explained simply.</t>
        </is>
      </c>
      <c r="C3" s="1" t="n"/>
      <c r="D3" s="1" t="n"/>
    </row>
    <row r="4" ht="4" customHeight="1">
      <c r="A4" s="5" t="n"/>
      <c r="B4" s="5" t="n"/>
      <c r="C4" s="5" t="n"/>
      <c r="D4" s="5" t="n"/>
    </row>
    <row r="6" ht="28" customHeight="1">
      <c r="B6" s="67" t="inlineStr">
        <is>
          <t>Term</t>
        </is>
      </c>
      <c r="C6" s="124" t="inlineStr">
        <is>
          <t>Definition</t>
        </is>
      </c>
    </row>
    <row r="7" ht="24" customHeight="1">
      <c r="B7" s="34" t="inlineStr">
        <is>
          <t>Asset class</t>
        </is>
      </c>
      <c r="C7" s="36" t="inlineStr">
        <is>
          <t>A category of investments such as stocks, bonds or real estate.</t>
        </is>
      </c>
    </row>
    <row r="8" ht="24" customHeight="1">
      <c r="B8" s="130" t="inlineStr">
        <is>
          <t>Allocation</t>
        </is>
      </c>
      <c r="C8" s="131" t="inlineStr">
        <is>
          <t>How your portfolio is split across assets.</t>
        </is>
      </c>
    </row>
    <row r="9" ht="24" customHeight="1">
      <c r="B9" s="34" t="inlineStr">
        <is>
          <t>Rebalancing</t>
        </is>
      </c>
      <c r="C9" s="36" t="inlineStr">
        <is>
          <t>Trading back to your target allocation.</t>
        </is>
      </c>
    </row>
    <row r="10" ht="24" customHeight="1">
      <c r="B10" s="130" t="inlineStr">
        <is>
          <t>Diversification</t>
        </is>
      </c>
      <c r="C10" s="131" t="inlineStr">
        <is>
          <t>Spreading money across assets to reduce risk.</t>
        </is>
      </c>
    </row>
    <row r="11" ht="24" customHeight="1">
      <c r="B11" s="34" t="inlineStr">
        <is>
          <t>ETF</t>
        </is>
      </c>
      <c r="C11" s="36" t="inlineStr">
        <is>
          <t>Exchange-traded fund: a basket of assets that trades like a stock.</t>
        </is>
      </c>
    </row>
    <row r="12" ht="24" customHeight="1">
      <c r="B12" s="130" t="inlineStr">
        <is>
          <t>Index fund</t>
        </is>
      </c>
      <c r="C12" s="131" t="inlineStr">
        <is>
          <t>A fund that tracks a market index.</t>
        </is>
      </c>
    </row>
    <row r="13" ht="24" customHeight="1">
      <c r="B13" s="34" t="inlineStr">
        <is>
          <t>Dividend</t>
        </is>
      </c>
      <c r="C13" s="36" t="inlineStr">
        <is>
          <t>A cash payment from a company or fund to its owners.</t>
        </is>
      </c>
    </row>
    <row r="14" ht="24" customHeight="1">
      <c r="B14" s="130" t="inlineStr">
        <is>
          <t>Dividend yield</t>
        </is>
      </c>
      <c r="C14" s="131" t="inlineStr">
        <is>
          <t>Yearly dividends divided by the price.</t>
        </is>
      </c>
    </row>
    <row r="15" ht="24" customHeight="1">
      <c r="B15" s="34" t="inlineStr">
        <is>
          <t>Yield on cost</t>
        </is>
      </c>
      <c r="C15" s="36" t="inlineStr">
        <is>
          <t>Yearly dividends divided by what you originally paid.</t>
        </is>
      </c>
    </row>
    <row r="16" ht="24" customHeight="1">
      <c r="B16" s="130" t="inlineStr">
        <is>
          <t>Total return</t>
        </is>
      </c>
      <c r="C16" s="131" t="inlineStr">
        <is>
          <t>Price change plus dividends and other income.</t>
        </is>
      </c>
    </row>
    <row r="17" ht="24" customHeight="1">
      <c r="B17" s="34" t="inlineStr">
        <is>
          <t>Unrealized P&amp;L</t>
        </is>
      </c>
      <c r="C17" s="36" t="inlineStr">
        <is>
          <t>Profit or loss on holdings you still own.</t>
        </is>
      </c>
    </row>
    <row r="18" ht="24" customHeight="1">
      <c r="B18" s="130" t="inlineStr">
        <is>
          <t>Realized P&amp;L</t>
        </is>
      </c>
      <c r="C18" s="131" t="inlineStr">
        <is>
          <t>Profit or loss locked in by selling.</t>
        </is>
      </c>
    </row>
    <row r="19" ht="24" customHeight="1">
      <c r="B19" s="34" t="inlineStr">
        <is>
          <t>Cost basis</t>
        </is>
      </c>
      <c r="C19" s="36" t="inlineStr">
        <is>
          <t>The total amount paid for a holding.</t>
        </is>
      </c>
    </row>
    <row r="20" ht="24" customHeight="1">
      <c r="B20" s="130" t="inlineStr">
        <is>
          <t>Average cost</t>
        </is>
      </c>
      <c r="C20" s="131" t="inlineStr">
        <is>
          <t>Cost basis divided by shares owned.</t>
        </is>
      </c>
    </row>
    <row r="21" ht="24" customHeight="1">
      <c r="B21" s="34" t="inlineStr">
        <is>
          <t>CAGR</t>
        </is>
      </c>
      <c r="C21" s="36" t="inlineStr">
        <is>
          <t>Compound annual growth rate: smoothed yearly growth.</t>
        </is>
      </c>
    </row>
    <row r="22" ht="24" customHeight="1">
      <c r="B22" s="130" t="inlineStr">
        <is>
          <t>Volatility</t>
        </is>
      </c>
      <c r="C22" s="131" t="inlineStr">
        <is>
          <t>How much an investment's price swings.</t>
        </is>
      </c>
    </row>
    <row r="23" ht="24" customHeight="1">
      <c r="B23" s="34" t="inlineStr">
        <is>
          <t>Drawdown</t>
        </is>
      </c>
      <c r="C23" s="36" t="inlineStr">
        <is>
          <t>A fall from a previous peak.</t>
        </is>
      </c>
    </row>
    <row r="24" ht="24" customHeight="1">
      <c r="B24" s="130" t="inlineStr">
        <is>
          <t>Beta</t>
        </is>
      </c>
      <c r="C24" s="131" t="inlineStr">
        <is>
          <t>How strongly an asset moves with the market.</t>
        </is>
      </c>
    </row>
    <row r="25" ht="24" customHeight="1">
      <c r="B25" s="34" t="inlineStr">
        <is>
          <t>Correlation</t>
        </is>
      </c>
      <c r="C25" s="36" t="inlineStr">
        <is>
          <t>How closely two assets move together.</t>
        </is>
      </c>
    </row>
    <row r="26" ht="24" customHeight="1">
      <c r="B26" s="130" t="inlineStr">
        <is>
          <t>Expense ratio</t>
        </is>
      </c>
      <c r="C26" s="131" t="inlineStr">
        <is>
          <t>The yearly fee charged by a fund.</t>
        </is>
      </c>
    </row>
    <row r="27" ht="24" customHeight="1">
      <c r="B27" s="34" t="inlineStr">
        <is>
          <t>Bid-ask spread</t>
        </is>
      </c>
      <c r="C27" s="36" t="inlineStr">
        <is>
          <t>The gap between the buying and selling price.</t>
        </is>
      </c>
    </row>
    <row r="28" ht="24" customHeight="1">
      <c r="B28" s="130" t="inlineStr">
        <is>
          <t>Liquidity</t>
        </is>
      </c>
      <c r="C28" s="131" t="inlineStr">
        <is>
          <t>How easily you can sell without moving the price.</t>
        </is>
      </c>
    </row>
    <row r="29" ht="24" customHeight="1">
      <c r="B29" s="34" t="inlineStr">
        <is>
          <t>Dollar-cost averaging</t>
        </is>
      </c>
      <c r="C29" s="36" t="inlineStr">
        <is>
          <t>Investing a fixed amount at regular intervals.</t>
        </is>
      </c>
    </row>
    <row r="30" ht="24" customHeight="1">
      <c r="B30" s="130" t="inlineStr">
        <is>
          <t>Compound interest</t>
        </is>
      </c>
      <c r="C30" s="131" t="inlineStr">
        <is>
          <t>Returns earned on previous returns.</t>
        </is>
      </c>
    </row>
    <row r="31" ht="24" customHeight="1">
      <c r="B31" s="34" t="inlineStr">
        <is>
          <t>Inflation</t>
        </is>
      </c>
      <c r="C31" s="36" t="inlineStr">
        <is>
          <t>The general rise in prices.</t>
        </is>
      </c>
    </row>
    <row r="32" ht="24" customHeight="1">
      <c r="B32" s="130" t="inlineStr">
        <is>
          <t>Real return</t>
        </is>
      </c>
      <c r="C32" s="131" t="inlineStr">
        <is>
          <t>Return after subtracting inflation.</t>
        </is>
      </c>
    </row>
    <row r="33" ht="24" customHeight="1">
      <c r="B33" s="34" t="inlineStr">
        <is>
          <t>Safe withdrawal rate</t>
        </is>
      </c>
      <c r="C33" s="36" t="inlineStr">
        <is>
          <t>The share of a portfolio you can withdraw yearly with low risk of running out.</t>
        </is>
      </c>
    </row>
    <row r="34" ht="24" customHeight="1">
      <c r="B34" s="130" t="inlineStr">
        <is>
          <t>Financial independence</t>
        </is>
      </c>
      <c r="C34" s="131" t="inlineStr">
        <is>
          <t>Having enough assets to cover your spending.</t>
        </is>
      </c>
    </row>
    <row r="35" ht="24" customHeight="1">
      <c r="B35" s="34" t="inlineStr">
        <is>
          <t>Coast FI</t>
        </is>
      </c>
      <c r="C35" s="36" t="inlineStr">
        <is>
          <t>Having enough invested that growth alone will reach your goal by retirement.</t>
        </is>
      </c>
    </row>
    <row r="36" ht="24" customHeight="1">
      <c r="B36" s="130" t="inlineStr">
        <is>
          <t>Bond</t>
        </is>
      </c>
      <c r="C36" s="131" t="inlineStr">
        <is>
          <t>A loan to a government or company that pays interest.</t>
        </is>
      </c>
    </row>
    <row r="37" ht="24" customHeight="1">
      <c r="B37" s="34" t="inlineStr">
        <is>
          <t>REIT</t>
        </is>
      </c>
      <c r="C37" s="36" t="inlineStr">
        <is>
          <t>A company that owns income-producing real estate.</t>
        </is>
      </c>
    </row>
    <row r="38" ht="24" customHeight="1">
      <c r="B38" s="130" t="inlineStr">
        <is>
          <t>Market capitalization</t>
        </is>
      </c>
      <c r="C38" s="131" t="inlineStr">
        <is>
          <t>Share price times shares outstanding.</t>
        </is>
      </c>
    </row>
    <row r="39" ht="24" customHeight="1">
      <c r="B39" s="34" t="inlineStr">
        <is>
          <t>Sector</t>
        </is>
      </c>
      <c r="C39" s="36" t="inlineStr">
        <is>
          <t>A group of companies in the same industry.</t>
        </is>
      </c>
    </row>
    <row r="40" ht="24" customHeight="1">
      <c r="B40" s="130" t="inlineStr">
        <is>
          <t>Benchmark</t>
        </is>
      </c>
      <c r="C40" s="131" t="inlineStr">
        <is>
          <t>An index used to compare performance.</t>
        </is>
      </c>
    </row>
    <row r="41" ht="24" customHeight="1">
      <c r="B41" s="34" t="inlineStr">
        <is>
          <t>Concentration risk</t>
        </is>
      </c>
      <c r="C41" s="36" t="inlineStr">
        <is>
          <t>Risk from holding too much in one asset or theme.</t>
        </is>
      </c>
    </row>
    <row r="42" ht="24" customHeight="1">
      <c r="B42" s="130" t="inlineStr">
        <is>
          <t>HHI</t>
        </is>
      </c>
      <c r="C42" s="131" t="inlineStr">
        <is>
          <t>A concentration measure: the sum of squared weights.</t>
        </is>
      </c>
    </row>
    <row r="43" ht="24" customHeight="1">
      <c r="B43" s="34" t="inlineStr">
        <is>
          <t>Stress test</t>
        </is>
      </c>
      <c r="C43" s="36" t="inlineStr">
        <is>
          <t>Estimating losses under a hypothetical market fall.</t>
        </is>
      </c>
    </row>
    <row r="44" ht="24" customHeight="1">
      <c r="B44" s="130" t="inlineStr">
        <is>
          <t>Modified Dietz</t>
        </is>
      </c>
      <c r="C44" s="131" t="inlineStr">
        <is>
          <t>A method to compute returns when money is added or withdrawn.</t>
        </is>
      </c>
    </row>
    <row r="45" ht="24" customHeight="1">
      <c r="B45" s="34" t="inlineStr">
        <is>
          <t>Tax-advantaged account</t>
        </is>
      </c>
      <c r="C45" s="36" t="inlineStr">
        <is>
          <t>An account with favorable tax treatment.</t>
        </is>
      </c>
    </row>
    <row r="46" ht="24" customHeight="1">
      <c r="B46" s="130" t="inlineStr">
        <is>
          <t>Watchlist</t>
        </is>
      </c>
      <c r="C46" s="131" t="inlineStr">
        <is>
          <t>A list of assets you are monitoring.</t>
        </is>
      </c>
    </row>
  </sheetData>
  <mergeCells count="1">
    <mergeCell ref="B2:C2"/>
  </mergeCells>
  <hyperlinks>
    <hyperlink ref="B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E17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2" customHeight="1">
      <c r="A1" s="1" t="n"/>
      <c r="B1" s="2">
        <f>'Settings'!$C$7</f>
        <v/>
      </c>
      <c r="C1" s="1" t="n"/>
      <c r="D1" s="1" t="n"/>
      <c r="E1" s="1" t="n"/>
    </row>
    <row r="2" ht="30" customHeight="1">
      <c r="A2" s="1" t="n"/>
      <c r="B2" s="31" t="inlineStr">
        <is>
          <t>Lists</t>
        </is>
      </c>
      <c r="C2" s="1" t="n"/>
      <c r="D2" s="32" t="inlineStr">
        <is>
          <t>← Accueil</t>
        </is>
      </c>
      <c r="E2" s="1" t="n"/>
    </row>
    <row r="3" ht="18" customHeight="1">
      <c r="A3" s="1" t="n"/>
      <c r="B3" s="4" t="inlineStr">
        <is>
          <t>Rename the blue items to fit your portfolio. Menus and tables update everywhere.</t>
        </is>
      </c>
      <c r="C3" s="1" t="n"/>
      <c r="D3" s="1" t="n"/>
      <c r="E3" s="1" t="n"/>
    </row>
    <row r="4" ht="4" customHeight="1">
      <c r="A4" s="5" t="n"/>
      <c r="B4" s="5" t="n"/>
      <c r="C4" s="5" t="n"/>
      <c r="D4" s="5" t="n"/>
      <c r="E4" s="5" t="n"/>
    </row>
    <row r="5" ht="30" customHeight="1">
      <c r="B5" s="67" t="inlineStr">
        <is>
          <t>Asset classes (8)</t>
        </is>
      </c>
      <c r="C5" s="67" t="inlineStr">
        <is>
          <t>Sectors (12)</t>
        </is>
      </c>
      <c r="D5" s="67" t="inlineStr">
        <is>
          <t>Accounts (5)</t>
        </is>
      </c>
      <c r="E5" s="67" t="inlineStr">
        <is>
          <t>Transaction types</t>
        </is>
      </c>
    </row>
    <row r="6">
      <c r="B6" s="73" t="inlineStr">
        <is>
          <t>Stocks</t>
        </is>
      </c>
      <c r="C6" s="73" t="inlineStr">
        <is>
          <t>Technology</t>
        </is>
      </c>
      <c r="D6" s="73" t="inlineStr">
        <is>
          <t>Brokerage</t>
        </is>
      </c>
      <c r="E6" s="96" t="inlineStr">
        <is>
          <t>Buy</t>
        </is>
      </c>
    </row>
    <row r="7">
      <c r="B7" s="73" t="inlineStr">
        <is>
          <t>ETFs</t>
        </is>
      </c>
      <c r="C7" s="73" t="inlineStr">
        <is>
          <t>Financials</t>
        </is>
      </c>
      <c r="D7" s="73" t="inlineStr">
        <is>
          <t>Retirement</t>
        </is>
      </c>
      <c r="E7" s="96" t="inlineStr">
        <is>
          <t>Sell</t>
        </is>
      </c>
    </row>
    <row r="8">
      <c r="B8" s="73" t="inlineStr">
        <is>
          <t>Bonds</t>
        </is>
      </c>
      <c r="C8" s="73" t="inlineStr">
        <is>
          <t>Healthcare</t>
        </is>
      </c>
      <c r="D8" s="73" t="inlineStr">
        <is>
          <t>Crypto wallet</t>
        </is>
      </c>
      <c r="E8" s="96" t="inlineStr">
        <is>
          <t>Dividend</t>
        </is>
      </c>
    </row>
    <row r="9">
      <c r="B9" s="73" t="inlineStr">
        <is>
          <t>Crypto</t>
        </is>
      </c>
      <c r="C9" s="73" t="inlineStr">
        <is>
          <t>Energy</t>
        </is>
      </c>
      <c r="D9" s="73" t="inlineStr">
        <is>
          <t>Savings</t>
        </is>
      </c>
      <c r="E9" s="96" t="inlineStr">
        <is>
          <t>Fee</t>
        </is>
      </c>
    </row>
    <row r="10">
      <c r="B10" s="73" t="inlineStr">
        <is>
          <t>Real estate</t>
        </is>
      </c>
      <c r="C10" s="73" t="inlineStr">
        <is>
          <t>Consumer</t>
        </is>
      </c>
      <c r="D10" s="73" t="inlineStr">
        <is>
          <t>Other</t>
        </is>
      </c>
    </row>
    <row r="11">
      <c r="B11" s="73" t="inlineStr">
        <is>
          <t>Commodities</t>
        </is>
      </c>
      <c r="C11" s="73" t="inlineStr">
        <is>
          <t>Industrials</t>
        </is>
      </c>
      <c r="D11" s="96" t="n"/>
    </row>
    <row r="12">
      <c r="B12" s="73" t="inlineStr">
        <is>
          <t>Cash</t>
        </is>
      </c>
      <c r="C12" s="73" t="inlineStr">
        <is>
          <t>Utilities</t>
        </is>
      </c>
    </row>
    <row r="13">
      <c r="B13" s="73" t="inlineStr">
        <is>
          <t>Other</t>
        </is>
      </c>
      <c r="C13" s="73" t="inlineStr">
        <is>
          <t>Real estate</t>
        </is>
      </c>
    </row>
    <row r="14">
      <c r="B14" s="96" t="n"/>
      <c r="C14" s="73" t="inlineStr">
        <is>
          <t>Materials</t>
        </is>
      </c>
    </row>
    <row r="15">
      <c r="B15" s="96" t="n"/>
      <c r="C15" s="73" t="inlineStr">
        <is>
          <t>Communication</t>
        </is>
      </c>
    </row>
    <row r="16">
      <c r="B16" s="96" t="n"/>
      <c r="C16" s="73" t="inlineStr">
        <is>
          <t>Broad market</t>
        </is>
      </c>
    </row>
    <row r="17">
      <c r="B17" s="96" t="n"/>
      <c r="C17" s="73" t="inlineStr">
        <is>
          <t>Other</t>
        </is>
      </c>
    </row>
  </sheetData>
  <mergeCells count="1">
    <mergeCell ref="D2:E2"/>
  </mergeCell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tabColor rgb="0094A3B8"/>
    <outlinePr summaryBelow="1" summaryRight="1"/>
    <pageSetUpPr/>
  </sheetPr>
  <dimension ref="A1:D69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t="inlineStr">
        <is>
          <t>Internal chart data: do not edit</t>
        </is>
      </c>
    </row>
    <row r="3">
      <c r="A3" t="inlineStr">
        <is>
          <t>Position</t>
        </is>
      </c>
    </row>
    <row r="4">
      <c r="A4" t="inlineStr">
        <is>
          <t>Ticker</t>
        </is>
      </c>
      <c r="B4" t="inlineStr">
        <is>
          <t>Value</t>
        </is>
      </c>
      <c r="C4" t="inlineStr">
        <is>
          <t>Unrealized P&amp;L</t>
        </is>
      </c>
      <c r="D4" t="inlineStr">
        <is>
          <t>Sort key</t>
        </is>
      </c>
    </row>
    <row r="5">
      <c r="A5">
        <f>IF('Holdings'!B7="","",'Holdings'!B7)</f>
        <v/>
      </c>
      <c r="B5">
        <f>N('Holdings'!K7)</f>
        <v/>
      </c>
      <c r="C5">
        <f>N('Holdings'!L7)</f>
        <v/>
      </c>
      <c r="D5">
        <f>IF(B5&gt;0,B5+ROW()/1000000000,0)</f>
        <v/>
      </c>
    </row>
    <row r="6">
      <c r="A6">
        <f>IF('Holdings'!B8="","",'Holdings'!B8)</f>
        <v/>
      </c>
      <c r="B6">
        <f>N('Holdings'!K8)</f>
        <v/>
      </c>
      <c r="C6">
        <f>N('Holdings'!L8)</f>
        <v/>
      </c>
      <c r="D6">
        <f>IF(B6&gt;0,B6+ROW()/1000000000,0)</f>
        <v/>
      </c>
    </row>
    <row r="7">
      <c r="A7">
        <f>IF('Holdings'!B9="","",'Holdings'!B9)</f>
        <v/>
      </c>
      <c r="B7">
        <f>N('Holdings'!K9)</f>
        <v/>
      </c>
      <c r="C7">
        <f>N('Holdings'!L9)</f>
        <v/>
      </c>
      <c r="D7">
        <f>IF(B7&gt;0,B7+ROW()/1000000000,0)</f>
        <v/>
      </c>
    </row>
    <row r="8">
      <c r="A8">
        <f>IF('Holdings'!B10="","",'Holdings'!B10)</f>
        <v/>
      </c>
      <c r="B8">
        <f>N('Holdings'!K10)</f>
        <v/>
      </c>
      <c r="C8">
        <f>N('Holdings'!L10)</f>
        <v/>
      </c>
      <c r="D8">
        <f>IF(B8&gt;0,B8+ROW()/1000000000,0)</f>
        <v/>
      </c>
    </row>
    <row r="9">
      <c r="A9">
        <f>IF('Holdings'!B11="","",'Holdings'!B11)</f>
        <v/>
      </c>
      <c r="B9">
        <f>N('Holdings'!K11)</f>
        <v/>
      </c>
      <c r="C9">
        <f>N('Holdings'!L11)</f>
        <v/>
      </c>
      <c r="D9">
        <f>IF(B9&gt;0,B9+ROW()/1000000000,0)</f>
        <v/>
      </c>
    </row>
    <row r="10">
      <c r="A10">
        <f>IF('Holdings'!B12="","",'Holdings'!B12)</f>
        <v/>
      </c>
      <c r="B10">
        <f>N('Holdings'!K12)</f>
        <v/>
      </c>
      <c r="C10">
        <f>N('Holdings'!L12)</f>
        <v/>
      </c>
      <c r="D10">
        <f>IF(B10&gt;0,B10+ROW()/1000000000,0)</f>
        <v/>
      </c>
    </row>
    <row r="11">
      <c r="A11">
        <f>IF('Holdings'!B13="","",'Holdings'!B13)</f>
        <v/>
      </c>
      <c r="B11">
        <f>N('Holdings'!K13)</f>
        <v/>
      </c>
      <c r="C11">
        <f>N('Holdings'!L13)</f>
        <v/>
      </c>
      <c r="D11">
        <f>IF(B11&gt;0,B11+ROW()/1000000000,0)</f>
        <v/>
      </c>
    </row>
    <row r="12">
      <c r="A12">
        <f>IF('Holdings'!B14="","",'Holdings'!B14)</f>
        <v/>
      </c>
      <c r="B12">
        <f>N('Holdings'!K14)</f>
        <v/>
      </c>
      <c r="C12">
        <f>N('Holdings'!L14)</f>
        <v/>
      </c>
      <c r="D12">
        <f>IF(B12&gt;0,B12+ROW()/1000000000,0)</f>
        <v/>
      </c>
    </row>
    <row r="13">
      <c r="A13">
        <f>IF('Holdings'!B15="","",'Holdings'!B15)</f>
        <v/>
      </c>
      <c r="B13">
        <f>N('Holdings'!K15)</f>
        <v/>
      </c>
      <c r="C13">
        <f>N('Holdings'!L15)</f>
        <v/>
      </c>
      <c r="D13">
        <f>IF(B13&gt;0,B13+ROW()/1000000000,0)</f>
        <v/>
      </c>
    </row>
    <row r="14">
      <c r="A14">
        <f>IF('Holdings'!B16="","",'Holdings'!B16)</f>
        <v/>
      </c>
      <c r="B14">
        <f>N('Holdings'!K16)</f>
        <v/>
      </c>
      <c r="C14">
        <f>N('Holdings'!L16)</f>
        <v/>
      </c>
      <c r="D14">
        <f>IF(B14&gt;0,B14+ROW()/1000000000,0)</f>
        <v/>
      </c>
    </row>
    <row r="15">
      <c r="A15">
        <f>IF('Holdings'!B17="","",'Holdings'!B17)</f>
        <v/>
      </c>
      <c r="B15">
        <f>N('Holdings'!K17)</f>
        <v/>
      </c>
      <c r="C15">
        <f>N('Holdings'!L17)</f>
        <v/>
      </c>
      <c r="D15">
        <f>IF(B15&gt;0,B15+ROW()/1000000000,0)</f>
        <v/>
      </c>
    </row>
    <row r="16">
      <c r="A16">
        <f>IF('Holdings'!B18="","",'Holdings'!B18)</f>
        <v/>
      </c>
      <c r="B16">
        <f>N('Holdings'!K18)</f>
        <v/>
      </c>
      <c r="C16">
        <f>N('Holdings'!L18)</f>
        <v/>
      </c>
      <c r="D16">
        <f>IF(B16&gt;0,B16+ROW()/1000000000,0)</f>
        <v/>
      </c>
    </row>
    <row r="17">
      <c r="A17">
        <f>IF('Holdings'!B19="","",'Holdings'!B19)</f>
        <v/>
      </c>
      <c r="B17">
        <f>N('Holdings'!K19)</f>
        <v/>
      </c>
      <c r="C17">
        <f>N('Holdings'!L19)</f>
        <v/>
      </c>
      <c r="D17">
        <f>IF(B17&gt;0,B17+ROW()/1000000000,0)</f>
        <v/>
      </c>
    </row>
    <row r="18">
      <c r="A18">
        <f>IF('Holdings'!B20="","",'Holdings'!B20)</f>
        <v/>
      </c>
      <c r="B18">
        <f>N('Holdings'!K20)</f>
        <v/>
      </c>
      <c r="C18">
        <f>N('Holdings'!L20)</f>
        <v/>
      </c>
      <c r="D18">
        <f>IF(B18&gt;0,B18+ROW()/1000000000,0)</f>
        <v/>
      </c>
    </row>
    <row r="19">
      <c r="A19">
        <f>IF('Holdings'!B21="","",'Holdings'!B21)</f>
        <v/>
      </c>
      <c r="B19">
        <f>N('Holdings'!K21)</f>
        <v/>
      </c>
      <c r="C19">
        <f>N('Holdings'!L21)</f>
        <v/>
      </c>
      <c r="D19">
        <f>IF(B19&gt;0,B19+ROW()/1000000000,0)</f>
        <v/>
      </c>
    </row>
    <row r="20">
      <c r="A20">
        <f>IF('Holdings'!B22="","",'Holdings'!B22)</f>
        <v/>
      </c>
      <c r="B20">
        <f>N('Holdings'!K22)</f>
        <v/>
      </c>
      <c r="C20">
        <f>N('Holdings'!L22)</f>
        <v/>
      </c>
      <c r="D20">
        <f>IF(B20&gt;0,B20+ROW()/1000000000,0)</f>
        <v/>
      </c>
    </row>
    <row r="21">
      <c r="A21">
        <f>IF('Holdings'!B23="","",'Holdings'!B23)</f>
        <v/>
      </c>
      <c r="B21">
        <f>N('Holdings'!K23)</f>
        <v/>
      </c>
      <c r="C21">
        <f>N('Holdings'!L23)</f>
        <v/>
      </c>
      <c r="D21">
        <f>IF(B21&gt;0,B21+ROW()/1000000000,0)</f>
        <v/>
      </c>
    </row>
    <row r="22">
      <c r="A22">
        <f>IF('Holdings'!B24="","",'Holdings'!B24)</f>
        <v/>
      </c>
      <c r="B22">
        <f>N('Holdings'!K24)</f>
        <v/>
      </c>
      <c r="C22">
        <f>N('Holdings'!L24)</f>
        <v/>
      </c>
      <c r="D22">
        <f>IF(B22&gt;0,B22+ROW()/1000000000,0)</f>
        <v/>
      </c>
    </row>
    <row r="23">
      <c r="A23">
        <f>IF('Holdings'!B25="","",'Holdings'!B25)</f>
        <v/>
      </c>
      <c r="B23">
        <f>N('Holdings'!K25)</f>
        <v/>
      </c>
      <c r="C23">
        <f>N('Holdings'!L25)</f>
        <v/>
      </c>
      <c r="D23">
        <f>IF(B23&gt;0,B23+ROW()/1000000000,0)</f>
        <v/>
      </c>
    </row>
    <row r="24">
      <c r="A24">
        <f>IF('Holdings'!B26="","",'Holdings'!B26)</f>
        <v/>
      </c>
      <c r="B24">
        <f>N('Holdings'!K26)</f>
        <v/>
      </c>
      <c r="C24">
        <f>N('Holdings'!L26)</f>
        <v/>
      </c>
      <c r="D24">
        <f>IF(B24&gt;0,B24+ROW()/1000000000,0)</f>
        <v/>
      </c>
    </row>
    <row r="25">
      <c r="A25">
        <f>IF('Holdings'!B27="","",'Holdings'!B27)</f>
        <v/>
      </c>
      <c r="B25">
        <f>N('Holdings'!K27)</f>
        <v/>
      </c>
      <c r="C25">
        <f>N('Holdings'!L27)</f>
        <v/>
      </c>
      <c r="D25">
        <f>IF(B25&gt;0,B25+ROW()/1000000000,0)</f>
        <v/>
      </c>
    </row>
    <row r="26">
      <c r="A26">
        <f>IF('Holdings'!B28="","",'Holdings'!B28)</f>
        <v/>
      </c>
      <c r="B26">
        <f>N('Holdings'!K28)</f>
        <v/>
      </c>
      <c r="C26">
        <f>N('Holdings'!L28)</f>
        <v/>
      </c>
      <c r="D26">
        <f>IF(B26&gt;0,B26+ROW()/1000000000,0)</f>
        <v/>
      </c>
    </row>
    <row r="27">
      <c r="A27">
        <f>IF('Holdings'!B29="","",'Holdings'!B29)</f>
        <v/>
      </c>
      <c r="B27">
        <f>N('Holdings'!K29)</f>
        <v/>
      </c>
      <c r="C27">
        <f>N('Holdings'!L29)</f>
        <v/>
      </c>
      <c r="D27">
        <f>IF(B27&gt;0,B27+ROW()/1000000000,0)</f>
        <v/>
      </c>
    </row>
    <row r="28">
      <c r="A28">
        <f>IF('Holdings'!B30="","",'Holdings'!B30)</f>
        <v/>
      </c>
      <c r="B28">
        <f>N('Holdings'!K30)</f>
        <v/>
      </c>
      <c r="C28">
        <f>N('Holdings'!L30)</f>
        <v/>
      </c>
      <c r="D28">
        <f>IF(B28&gt;0,B28+ROW()/1000000000,0)</f>
        <v/>
      </c>
    </row>
    <row r="29">
      <c r="A29">
        <f>IF('Holdings'!B31="","",'Holdings'!B31)</f>
        <v/>
      </c>
      <c r="B29">
        <f>N('Holdings'!K31)</f>
        <v/>
      </c>
      <c r="C29">
        <f>N('Holdings'!L31)</f>
        <v/>
      </c>
      <c r="D29">
        <f>IF(B29&gt;0,B29+ROW()/1000000000,0)</f>
        <v/>
      </c>
    </row>
    <row r="30">
      <c r="A30">
        <f>IF('Holdings'!B32="","",'Holdings'!B32)</f>
        <v/>
      </c>
      <c r="B30">
        <f>N('Holdings'!K32)</f>
        <v/>
      </c>
      <c r="C30">
        <f>N('Holdings'!L32)</f>
        <v/>
      </c>
      <c r="D30">
        <f>IF(B30&gt;0,B30+ROW()/1000000000,0)</f>
        <v/>
      </c>
    </row>
    <row r="31">
      <c r="A31">
        <f>IF('Holdings'!B33="","",'Holdings'!B33)</f>
        <v/>
      </c>
      <c r="B31">
        <f>N('Holdings'!K33)</f>
        <v/>
      </c>
      <c r="C31">
        <f>N('Holdings'!L33)</f>
        <v/>
      </c>
      <c r="D31">
        <f>IF(B31&gt;0,B31+ROW()/1000000000,0)</f>
        <v/>
      </c>
    </row>
    <row r="32">
      <c r="A32">
        <f>IF('Holdings'!B34="","",'Holdings'!B34)</f>
        <v/>
      </c>
      <c r="B32">
        <f>N('Holdings'!K34)</f>
        <v/>
      </c>
      <c r="C32">
        <f>N('Holdings'!L34)</f>
        <v/>
      </c>
      <c r="D32">
        <f>IF(B32&gt;0,B32+ROW()/1000000000,0)</f>
        <v/>
      </c>
    </row>
    <row r="33">
      <c r="A33">
        <f>IF('Holdings'!B35="","",'Holdings'!B35)</f>
        <v/>
      </c>
      <c r="B33">
        <f>N('Holdings'!K35)</f>
        <v/>
      </c>
      <c r="C33">
        <f>N('Holdings'!L35)</f>
        <v/>
      </c>
      <c r="D33">
        <f>IF(B33&gt;0,B33+ROW()/1000000000,0)</f>
        <v/>
      </c>
    </row>
    <row r="34">
      <c r="A34">
        <f>IF('Holdings'!B36="","",'Holdings'!B36)</f>
        <v/>
      </c>
      <c r="B34">
        <f>N('Holdings'!K36)</f>
        <v/>
      </c>
      <c r="C34">
        <f>N('Holdings'!L36)</f>
        <v/>
      </c>
      <c r="D34">
        <f>IF(B34&gt;0,B34+ROW()/1000000000,0)</f>
        <v/>
      </c>
    </row>
    <row r="35">
      <c r="A35">
        <f>IF('Holdings'!B37="","",'Holdings'!B37)</f>
        <v/>
      </c>
      <c r="B35">
        <f>N('Holdings'!K37)</f>
        <v/>
      </c>
      <c r="C35">
        <f>N('Holdings'!L37)</f>
        <v/>
      </c>
      <c r="D35">
        <f>IF(B35&gt;0,B35+ROW()/1000000000,0)</f>
        <v/>
      </c>
    </row>
    <row r="36">
      <c r="A36">
        <f>IF('Holdings'!B38="","",'Holdings'!B38)</f>
        <v/>
      </c>
      <c r="B36">
        <f>N('Holdings'!K38)</f>
        <v/>
      </c>
      <c r="C36">
        <f>N('Holdings'!L38)</f>
        <v/>
      </c>
      <c r="D36">
        <f>IF(B36&gt;0,B36+ROW()/1000000000,0)</f>
        <v/>
      </c>
    </row>
    <row r="37">
      <c r="A37">
        <f>IF('Holdings'!B39="","",'Holdings'!B39)</f>
        <v/>
      </c>
      <c r="B37">
        <f>N('Holdings'!K39)</f>
        <v/>
      </c>
      <c r="C37">
        <f>N('Holdings'!L39)</f>
        <v/>
      </c>
      <c r="D37">
        <f>IF(B37&gt;0,B37+ROW()/1000000000,0)</f>
        <v/>
      </c>
    </row>
    <row r="38">
      <c r="A38">
        <f>IF('Holdings'!B40="","",'Holdings'!B40)</f>
        <v/>
      </c>
      <c r="B38">
        <f>N('Holdings'!K40)</f>
        <v/>
      </c>
      <c r="C38">
        <f>N('Holdings'!L40)</f>
        <v/>
      </c>
      <c r="D38">
        <f>IF(B38&gt;0,B38+ROW()/1000000000,0)</f>
        <v/>
      </c>
    </row>
    <row r="39">
      <c r="A39">
        <f>IF('Holdings'!B41="","",'Holdings'!B41)</f>
        <v/>
      </c>
      <c r="B39">
        <f>N('Holdings'!K41)</f>
        <v/>
      </c>
      <c r="C39">
        <f>N('Holdings'!L41)</f>
        <v/>
      </c>
      <c r="D39">
        <f>IF(B39&gt;0,B39+ROW()/1000000000,0)</f>
        <v/>
      </c>
    </row>
    <row r="40">
      <c r="A40">
        <f>IF('Holdings'!B42="","",'Holdings'!B42)</f>
        <v/>
      </c>
      <c r="B40">
        <f>N('Holdings'!K42)</f>
        <v/>
      </c>
      <c r="C40">
        <f>N('Holdings'!L42)</f>
        <v/>
      </c>
      <c r="D40">
        <f>IF(B40&gt;0,B40+ROW()/1000000000,0)</f>
        <v/>
      </c>
    </row>
    <row r="41">
      <c r="A41">
        <f>IF('Holdings'!B43="","",'Holdings'!B43)</f>
        <v/>
      </c>
      <c r="B41">
        <f>N('Holdings'!K43)</f>
        <v/>
      </c>
      <c r="C41">
        <f>N('Holdings'!L43)</f>
        <v/>
      </c>
      <c r="D41">
        <f>IF(B41&gt;0,B41+ROW()/1000000000,0)</f>
        <v/>
      </c>
    </row>
    <row r="42">
      <c r="A42">
        <f>IF('Holdings'!B44="","",'Holdings'!B44)</f>
        <v/>
      </c>
      <c r="B42">
        <f>N('Holdings'!K44)</f>
        <v/>
      </c>
      <c r="C42">
        <f>N('Holdings'!L44)</f>
        <v/>
      </c>
      <c r="D42">
        <f>IF(B42&gt;0,B42+ROW()/1000000000,0)</f>
        <v/>
      </c>
    </row>
    <row r="43">
      <c r="A43">
        <f>IF('Holdings'!B45="","",'Holdings'!B45)</f>
        <v/>
      </c>
      <c r="B43">
        <f>N('Holdings'!K45)</f>
        <v/>
      </c>
      <c r="C43">
        <f>N('Holdings'!L45)</f>
        <v/>
      </c>
      <c r="D43">
        <f>IF(B43&gt;0,B43+ROW()/1000000000,0)</f>
        <v/>
      </c>
    </row>
    <row r="44">
      <c r="A44">
        <f>IF('Holdings'!B46="","",'Holdings'!B46)</f>
        <v/>
      </c>
      <c r="B44">
        <f>N('Holdings'!K46)</f>
        <v/>
      </c>
      <c r="C44">
        <f>N('Holdings'!L46)</f>
        <v/>
      </c>
      <c r="D44">
        <f>IF(B44&gt;0,B44+ROW()/1000000000,0)</f>
        <v/>
      </c>
    </row>
    <row r="47">
      <c r="A47" t="inlineStr">
        <is>
          <t>Top 10</t>
        </is>
      </c>
    </row>
    <row r="48">
      <c r="A48" t="inlineStr">
        <is>
          <t>Ticker</t>
        </is>
      </c>
      <c r="B48" t="inlineStr">
        <is>
          <t>Value</t>
        </is>
      </c>
      <c r="C48" t="inlineStr">
        <is>
          <t>Unrealized P&amp;L</t>
        </is>
      </c>
      <c r="D48" t="inlineStr">
        <is>
          <t>Weight</t>
        </is>
      </c>
    </row>
    <row r="49">
      <c r="A49">
        <f>IF(B49=0,"",INDEX($A$5:$A$44,MATCH(LARGE($D$5:$D$44,1),$D$5:$D$44,0)))</f>
        <v/>
      </c>
      <c r="B49">
        <f>IF(LARGE($D$5:$D$44,1)&lt;0.5,0,ROUND(LARGE($D$5:$D$44,1),2))</f>
        <v/>
      </c>
      <c r="C49">
        <f>IF(B49=0,0,INDEX($C$5:$C$44,MATCH(LARGE($D$5:$D$44,1),$D$5:$D$44,0)))</f>
        <v/>
      </c>
      <c r="D49">
        <f>IF(SUM($B$5:$B$44)=0,0,B49/SUM($B$5:$B$44))</f>
        <v/>
      </c>
    </row>
    <row r="50">
      <c r="A50">
        <f>IF(B50=0,"",INDEX($A$5:$A$44,MATCH(LARGE($D$5:$D$44,2),$D$5:$D$44,0)))</f>
        <v/>
      </c>
      <c r="B50">
        <f>IF(LARGE($D$5:$D$44,2)&lt;0.5,0,ROUND(LARGE($D$5:$D$44,2),2))</f>
        <v/>
      </c>
      <c r="C50">
        <f>IF(B50=0,0,INDEX($C$5:$C$44,MATCH(LARGE($D$5:$D$44,2),$D$5:$D$44,0)))</f>
        <v/>
      </c>
      <c r="D50">
        <f>IF(SUM($B$5:$B$44)=0,0,B50/SUM($B$5:$B$44))</f>
        <v/>
      </c>
    </row>
    <row r="51">
      <c r="A51">
        <f>IF(B51=0,"",INDEX($A$5:$A$44,MATCH(LARGE($D$5:$D$44,3),$D$5:$D$44,0)))</f>
        <v/>
      </c>
      <c r="B51">
        <f>IF(LARGE($D$5:$D$44,3)&lt;0.5,0,ROUND(LARGE($D$5:$D$44,3),2))</f>
        <v/>
      </c>
      <c r="C51">
        <f>IF(B51=0,0,INDEX($C$5:$C$44,MATCH(LARGE($D$5:$D$44,3),$D$5:$D$44,0)))</f>
        <v/>
      </c>
      <c r="D51">
        <f>IF(SUM($B$5:$B$44)=0,0,B51/SUM($B$5:$B$44))</f>
        <v/>
      </c>
    </row>
    <row r="52">
      <c r="A52">
        <f>IF(B52=0,"",INDEX($A$5:$A$44,MATCH(LARGE($D$5:$D$44,4),$D$5:$D$44,0)))</f>
        <v/>
      </c>
      <c r="B52">
        <f>IF(LARGE($D$5:$D$44,4)&lt;0.5,0,ROUND(LARGE($D$5:$D$44,4),2))</f>
        <v/>
      </c>
      <c r="C52">
        <f>IF(B52=0,0,INDEX($C$5:$C$44,MATCH(LARGE($D$5:$D$44,4),$D$5:$D$44,0)))</f>
        <v/>
      </c>
      <c r="D52">
        <f>IF(SUM($B$5:$B$44)=0,0,B52/SUM($B$5:$B$44))</f>
        <v/>
      </c>
    </row>
    <row r="53">
      <c r="A53">
        <f>IF(B53=0,"",INDEX($A$5:$A$44,MATCH(LARGE($D$5:$D$44,5),$D$5:$D$44,0)))</f>
        <v/>
      </c>
      <c r="B53">
        <f>IF(LARGE($D$5:$D$44,5)&lt;0.5,0,ROUND(LARGE($D$5:$D$44,5),2))</f>
        <v/>
      </c>
      <c r="C53">
        <f>IF(B53=0,0,INDEX($C$5:$C$44,MATCH(LARGE($D$5:$D$44,5),$D$5:$D$44,0)))</f>
        <v/>
      </c>
      <c r="D53">
        <f>IF(SUM($B$5:$B$44)=0,0,B53/SUM($B$5:$B$44))</f>
        <v/>
      </c>
    </row>
    <row r="54">
      <c r="A54">
        <f>IF(B54=0,"",INDEX($A$5:$A$44,MATCH(LARGE($D$5:$D$44,6),$D$5:$D$44,0)))</f>
        <v/>
      </c>
      <c r="B54">
        <f>IF(LARGE($D$5:$D$44,6)&lt;0.5,0,ROUND(LARGE($D$5:$D$44,6),2))</f>
        <v/>
      </c>
      <c r="C54">
        <f>IF(B54=0,0,INDEX($C$5:$C$44,MATCH(LARGE($D$5:$D$44,6),$D$5:$D$44,0)))</f>
        <v/>
      </c>
      <c r="D54">
        <f>IF(SUM($B$5:$B$44)=0,0,B54/SUM($B$5:$B$44))</f>
        <v/>
      </c>
    </row>
    <row r="55">
      <c r="A55">
        <f>IF(B55=0,"",INDEX($A$5:$A$44,MATCH(LARGE($D$5:$D$44,7),$D$5:$D$44,0)))</f>
        <v/>
      </c>
      <c r="B55">
        <f>IF(LARGE($D$5:$D$44,7)&lt;0.5,0,ROUND(LARGE($D$5:$D$44,7),2))</f>
        <v/>
      </c>
      <c r="C55">
        <f>IF(B55=0,0,INDEX($C$5:$C$44,MATCH(LARGE($D$5:$D$44,7),$D$5:$D$44,0)))</f>
        <v/>
      </c>
      <c r="D55">
        <f>IF(SUM($B$5:$B$44)=0,0,B55/SUM($B$5:$B$44))</f>
        <v/>
      </c>
    </row>
    <row r="56">
      <c r="A56">
        <f>IF(B56=0,"",INDEX($A$5:$A$44,MATCH(LARGE($D$5:$D$44,8),$D$5:$D$44,0)))</f>
        <v/>
      </c>
      <c r="B56">
        <f>IF(LARGE($D$5:$D$44,8)&lt;0.5,0,ROUND(LARGE($D$5:$D$44,8),2))</f>
        <v/>
      </c>
      <c r="C56">
        <f>IF(B56=0,0,INDEX($C$5:$C$44,MATCH(LARGE($D$5:$D$44,8),$D$5:$D$44,0)))</f>
        <v/>
      </c>
      <c r="D56">
        <f>IF(SUM($B$5:$B$44)=0,0,B56/SUM($B$5:$B$44))</f>
        <v/>
      </c>
    </row>
    <row r="57">
      <c r="A57">
        <f>IF(B57=0,"",INDEX($A$5:$A$44,MATCH(LARGE($D$5:$D$44,9),$D$5:$D$44,0)))</f>
        <v/>
      </c>
      <c r="B57">
        <f>IF(LARGE($D$5:$D$44,9)&lt;0.5,0,ROUND(LARGE($D$5:$D$44,9),2))</f>
        <v/>
      </c>
      <c r="C57">
        <f>IF(B57=0,0,INDEX($C$5:$C$44,MATCH(LARGE($D$5:$D$44,9),$D$5:$D$44,0)))</f>
        <v/>
      </c>
      <c r="D57">
        <f>IF(SUM($B$5:$B$44)=0,0,B57/SUM($B$5:$B$44))</f>
        <v/>
      </c>
    </row>
    <row r="58">
      <c r="A58">
        <f>IF(B58=0,"",INDEX($A$5:$A$44,MATCH(LARGE($D$5:$D$44,10),$D$5:$D$44,0)))</f>
        <v/>
      </c>
      <c r="B58">
        <f>IF(LARGE($D$5:$D$44,10)&lt;0.5,0,ROUND(LARGE($D$5:$D$44,10),2))</f>
        <v/>
      </c>
      <c r="C58">
        <f>IF(B58=0,0,INDEX($C$5:$C$44,MATCH(LARGE($D$5:$D$44,10),$D$5:$D$44,0)))</f>
        <v/>
      </c>
      <c r="D58">
        <f>IF(SUM($B$5:$B$44)=0,0,B58/SUM($B$5:$B$44))</f>
        <v/>
      </c>
    </row>
    <row r="62">
      <c r="A62" t="inlineStr">
        <is>
          <t>Best</t>
        </is>
      </c>
      <c r="B62">
        <f>IFERROR(INDEX('Holdings'!$B$7:$B$46,MATCH(MAX('Holdings'!$M$7:$M$46),'Holdings'!$M$7:$M$46,0)),"—")</f>
        <v/>
      </c>
    </row>
    <row r="63">
      <c r="A63" t="inlineStr">
        <is>
          <t>Worst</t>
        </is>
      </c>
      <c r="B63">
        <f>IFERROR(INDEX('Holdings'!$B$7:$B$46,MATCH(MIN('Holdings'!$M$7:$M$46),'Holdings'!$M$7:$M$46,0)),"—")</f>
        <v/>
      </c>
    </row>
    <row r="64">
      <c r="A64" t="inlineStr">
        <is>
          <t>Best %</t>
        </is>
      </c>
      <c r="B64">
        <f>IFERROR(MAX('Holdings'!$M$7:$M$46),0)</f>
        <v/>
      </c>
    </row>
    <row r="65">
      <c r="A65" t="inlineStr">
        <is>
          <t>Worst %</t>
        </is>
      </c>
      <c r="B65">
        <f>IFERROR(MIN('Holdings'!$M$7:$M$46),0)</f>
        <v/>
      </c>
    </row>
    <row r="66">
      <c r="A66" t="inlineStr">
        <is>
          <t>Drift max</t>
        </is>
      </c>
      <c r="B66">
        <f>IFERROR(MAX(MAX('Allocation'!F10:F17),-MIN('Allocation'!F10:F17)),0)</f>
        <v/>
      </c>
    </row>
    <row r="67">
      <c r="A67" t="inlineStr">
        <is>
          <t>Largest class</t>
        </is>
      </c>
      <c r="B67">
        <f>IFERROR(MAX('Allocation'!E10:E17),0)</f>
        <v/>
      </c>
    </row>
    <row r="68">
      <c r="A68" t="inlineStr">
        <is>
          <t>Fees</t>
        </is>
      </c>
      <c r="B68">
        <f>SUMIFS('Transactions'!$G$6:$G$1005,'Transactions'!$D$6:$D$1005,"Buy")+SUMIFS('Transactions'!$G$6:$G$1005,'Transactions'!$D$6:$D$1005,"Sell")+SUMIFS('Transactions'!$J$6:$J$1005,'Transactions'!$D$6:$D$1005,"Fee")</f>
        <v/>
      </c>
    </row>
    <row r="69">
      <c r="A69" t="inlineStr">
        <is>
          <t>Bought</t>
        </is>
      </c>
      <c r="B69">
        <f>SUMIFS('Transactions'!$J$6:$J$1005,'Transactions'!$D$6:$D$1005,"Buy")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Meridian</dc:creator>
  <dc:title xmlns:dc="http://purl.org/dc/elements/1.1/">Wealth &amp; Portfolio Tracker</dc:title>
  <dcterms:created xmlns:dcterms="http://purl.org/dc/terms/" xmlns:xsi="http://www.w3.org/2001/XMLSchema-instance" xsi:type="dcterms:W3CDTF">2026-11-06T00:15:06Z</dcterms:created>
  <dcterms:modified xmlns:dcterms="http://purl.org/dc/terms/" xmlns:xsi="http://www.w3.org/2001/XMLSchema-instance" xsi:type="dcterms:W3CDTF">2026-11-06T00:15:09Z</dcterms:modified>
</cp:coreProperties>
</file>