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2.xml" ContentType="application/vnd.openxmlformats-officedocument.drawing+xml"/>
  <Override PartName="/xl/worksheets/sheet7.xml" ContentType="application/vnd.openxmlformats-officedocument.spreadsheetml.worksheet+xml"/>
  <Override PartName="/xl/drawings/drawing3.xml" ContentType="application/vnd.openxmlformats-officedocument.drawing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4.xml" ContentType="application/vnd.openxmlformats-officedocument.drawing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drawings/drawing5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cueil" sheetId="1" state="visible" r:id="rId1"/>
    <sheet xmlns:r="http://schemas.openxmlformats.org/officeDocument/2006/relationships" name="Démarrage" sheetId="2" state="visible" r:id="rId2"/>
    <sheet xmlns:r="http://schemas.openxmlformats.org/officeDocument/2006/relationships" name="Paramètres" sheetId="3" state="visible" r:id="rId3"/>
    <sheet xmlns:r="http://schemas.openxmlformats.org/officeDocument/2006/relationships" name="Dashboard" sheetId="4" state="visible" r:id="rId4"/>
    <sheet xmlns:r="http://schemas.openxmlformats.org/officeDocument/2006/relationships" name="Journal" sheetId="5" state="visible" r:id="rId5"/>
    <sheet xmlns:r="http://schemas.openxmlformats.org/officeDocument/2006/relationships" name="Analyse" sheetId="6" state="visible" r:id="rId6"/>
    <sheet xmlns:r="http://schemas.openxmlformats.org/officeDocument/2006/relationships" name="Objectifs" sheetId="7" state="visible" r:id="rId7"/>
    <sheet xmlns:r="http://schemas.openxmlformats.org/officeDocument/2006/relationships" name="Plan" sheetId="8" state="visible" r:id="rId8"/>
    <sheet xmlns:r="http://schemas.openxmlformats.org/officeDocument/2006/relationships" name="Watchlist" sheetId="9" state="visible" r:id="rId9"/>
    <sheet xmlns:r="http://schemas.openxmlformats.org/officeDocument/2006/relationships" name="Calculateur" sheetId="10" state="visible" r:id="rId10"/>
    <sheet xmlns:r="http://schemas.openxmlformats.org/officeDocument/2006/relationships" name="Risque" sheetId="11" state="visible" r:id="rId11"/>
    <sheet xmlns:r="http://schemas.openxmlformats.org/officeDocument/2006/relationships" name="Stratégies" sheetId="12" state="visible" r:id="rId12"/>
    <sheet xmlns:r="http://schemas.openxmlformats.org/officeDocument/2006/relationships" name="Indicateurs" sheetId="13" state="visible" r:id="rId13"/>
    <sheet xmlns:r="http://schemas.openxmlformats.org/officeDocument/2006/relationships" name="Chandeliers" sheetId="14" state="visible" r:id="rId14"/>
    <sheet xmlns:r="http://schemas.openxmlformats.org/officeDocument/2006/relationships" name="Psychologie" sheetId="15" state="visible" r:id="rId15"/>
    <sheet xmlns:r="http://schemas.openxmlformats.org/officeDocument/2006/relationships" name="Check-in" sheetId="16" state="visible" r:id="rId16"/>
    <sheet xmlns:r="http://schemas.openxmlformats.org/officeDocument/2006/relationships" name="Erreurs" sheetId="17" state="visible" r:id="rId17"/>
    <sheet xmlns:r="http://schemas.openxmlformats.org/officeDocument/2006/relationships" name="Routine" sheetId="18" state="visible" r:id="rId18"/>
    <sheet xmlns:r="http://schemas.openxmlformats.org/officeDocument/2006/relationships" name="Glossaire" sheetId="19" state="visible" r:id="rId19"/>
    <sheet xmlns:r="http://schemas.openxmlformats.org/officeDocument/2006/relationships" name="Listes" sheetId="20" state="visible" r:id="rId20"/>
    <sheet xmlns:r="http://schemas.openxmlformats.org/officeDocument/2006/relationships" name="Données" sheetId="21" state="hidden" r:id="rId21"/>
  </sheets>
  <definedNames>
    <definedName name="_xlnm._FilterDatabase" localSheetId="4" hidden="1">'Journal'!$A$5:$AH$505</definedName>
  </definedNames>
  <calcPr calcId="124519" fullCalcOnLoad="1"/>
</workbook>
</file>

<file path=xl/styles.xml><?xml version="1.0" encoding="utf-8"?>
<styleSheet xmlns="http://schemas.openxmlformats.org/spreadsheetml/2006/main">
  <numFmts count="20">
    <numFmt numFmtId="164" formatCode="#,##0.00;-#,##0.00;0.00"/>
    <numFmt numFmtId="165" formatCode="yyyy-mm-dd"/>
    <numFmt numFmtId="166" formatCode="dd/mm/yyyy"/>
    <numFmt numFmtId="167" formatCode="0.0%"/>
    <numFmt numFmtId="168" formatCode="0.0"/>
    <numFmt numFmtId="169" formatCode="#,##0.00####"/>
    <numFmt numFmtId="170" formatCode="#,##0.0000"/>
    <numFmt numFmtId="171" formatCode="+#,##0.00;-#,##0.00;0.00"/>
    <numFmt numFmtId="172" formatCode="+0.0%;-0.0%;0.0%"/>
    <numFmt numFmtId="173" formatCode="+0.00&quot;R&quot;;-0.00&quot;R&quot;;0.00&quot;R&quot;"/>
    <numFmt numFmtId="174" formatCode="+0;-0;0"/>
    <numFmt numFmtId="175" formatCode="0%;-0%;&quot;–&quot;"/>
    <numFmt numFmtId="176" formatCode="+0.00;-0.00;&quot;–&quot;"/>
    <numFmt numFmtId="177" formatCode="0.00;-0.00;&quot;–&quot;"/>
    <numFmt numFmtId="178" formatCode="dd/mm"/>
    <numFmt numFmtId="179" formatCode="mmm yy"/>
    <numFmt numFmtId="180" formatCode="0&quot; / 8&quot;"/>
    <numFmt numFmtId="181" formatCode="0.0&quot;x&quot;"/>
    <numFmt numFmtId="182" formatCode="0.00####"/>
    <numFmt numFmtId="183" formatCode="+0.00;-0.00;0.00"/>
  </numFmts>
  <fonts count="40">
    <font>
      <name val="Calibri"/>
      <family val="2"/>
      <color theme="1"/>
      <sz val="11"/>
      <scheme val="minor"/>
    </font>
    <font>
      <name val="Arial"/>
      <b val="1"/>
      <color rgb="0010B981"/>
      <sz val="9"/>
    </font>
    <font>
      <name val="Arial"/>
      <b val="1"/>
      <color rgb="00FFFFFF"/>
      <sz val="20"/>
    </font>
    <font>
      <name val="Arial"/>
      <color rgb="00CBD5E1"/>
      <sz val="9"/>
    </font>
    <font>
      <name val="Arial"/>
      <b val="1"/>
      <color rgb="0010B981"/>
      <sz val="9"/>
      <u val="single"/>
    </font>
    <font>
      <name val="Arial"/>
      <b val="1"/>
      <color rgb="000F172A"/>
      <sz val="11"/>
    </font>
    <font>
      <name val="Arial"/>
      <b val="1"/>
      <color rgb="00334155"/>
      <sz val="10"/>
    </font>
    <font>
      <name val="Arial"/>
      <color rgb="001D4ED8"/>
      <sz val="10"/>
    </font>
    <font>
      <name val="Arial"/>
      <i val="1"/>
      <color rgb="0064748B"/>
      <sz val="9"/>
    </font>
    <font>
      <name val="Arial"/>
      <color rgb="00334155"/>
      <sz val="10"/>
    </font>
    <font>
      <name val="Arial"/>
      <b val="1"/>
      <color rgb="00059669"/>
      <sz val="10"/>
    </font>
    <font>
      <name val="Arial"/>
      <b val="1"/>
      <color rgb="00FFFFFF"/>
      <sz val="9"/>
    </font>
    <font>
      <name val="Arial"/>
      <color rgb="0064748B"/>
      <sz val="10"/>
    </font>
    <font>
      <name val="Arial"/>
      <b val="1"/>
      <color rgb="000F172A"/>
      <sz val="10"/>
    </font>
    <font>
      <name val="Arial"/>
      <i val="1"/>
      <color rgb="0064748B"/>
      <sz val="8"/>
    </font>
    <font>
      <name val="Arial"/>
      <b val="1"/>
      <color rgb="001E293B"/>
      <sz val="9"/>
    </font>
    <font>
      <name val="Arial"/>
      <color rgb="001E293B"/>
      <sz val="10"/>
    </font>
    <font>
      <name val="Arial"/>
      <b val="1"/>
      <color rgb="001E293B"/>
      <sz val="11"/>
    </font>
    <font>
      <name val="Arial"/>
      <b val="1"/>
      <color rgb="0064748B"/>
      <sz val="8"/>
    </font>
    <font>
      <name val="Arial"/>
      <b val="1"/>
      <color rgb="000F172A"/>
      <sz val="20"/>
    </font>
    <font>
      <name val="Arial"/>
      <color rgb="0064748B"/>
      <sz val="8"/>
    </font>
    <font>
      <name val="Arial"/>
      <color rgb="001E293B"/>
      <sz val="8"/>
    </font>
    <font>
      <name val="Arial"/>
      <b val="1"/>
      <color rgb="00334155"/>
      <sz val="9"/>
    </font>
    <font>
      <name val="Arial"/>
      <b val="1"/>
      <color rgb="001E293B"/>
      <sz val="10"/>
    </font>
    <font>
      <name val="Arial"/>
      <b val="1"/>
      <color rgb="00FFFFFF"/>
      <sz val="10"/>
    </font>
    <font>
      <name val="Arial"/>
      <b val="1"/>
      <color rgb="000F172A"/>
      <sz val="14"/>
    </font>
    <font>
      <name val="Arial"/>
      <b val="1"/>
      <color rgb="006D28D9"/>
      <sz val="10"/>
    </font>
    <font>
      <name val="Arial"/>
      <b val="1"/>
      <color rgb="001D4ED8"/>
      <sz val="10"/>
    </font>
    <font>
      <name val="Arial"/>
      <b val="1"/>
      <color rgb="000F172A"/>
      <sz val="16"/>
    </font>
    <font>
      <name val="Arial"/>
      <i val="1"/>
      <color rgb="00334155"/>
      <sz val="10"/>
    </font>
    <font>
      <name val="Arial"/>
      <b val="1"/>
      <color rgb="00FFFFFF"/>
      <sz val="26"/>
    </font>
    <font>
      <name val="Arial"/>
      <b val="1"/>
      <color rgb="000F172A"/>
      <sz val="22"/>
    </font>
    <font>
      <name val="Arial"/>
      <b val="1"/>
      <color rgb="000F172A"/>
      <sz val="12"/>
    </font>
    <font>
      <name val="Arial"/>
      <color rgb="0064748B"/>
      <sz val="9"/>
    </font>
    <font>
      <name val="Arial"/>
      <i val="1"/>
      <color rgb="0094A3B8"/>
      <sz val="8"/>
    </font>
    <font>
      <name val="Arial"/>
      <b val="1"/>
      <color rgb="00FFFFFF"/>
      <sz val="14"/>
    </font>
    <font>
      <name val="Arial"/>
      <b val="1"/>
      <color rgb="001D4ED8"/>
      <sz val="10"/>
      <u val="single"/>
    </font>
    <font>
      <name val="Arial"/>
      <b val="1"/>
      <color rgb="00B91C1C"/>
      <sz val="10"/>
    </font>
    <font>
      <name val="Arial"/>
      <b val="1"/>
      <color rgb="00B45309"/>
      <sz val="10"/>
    </font>
    <font>
      <name val="Arial"/>
      <color rgb="00334155"/>
      <sz val="9"/>
    </font>
  </fonts>
  <fills count="16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10B981"/>
      </patternFill>
    </fill>
    <fill>
      <patternFill patternType="solid">
        <fgColor rgb="00F1F5F9"/>
      </patternFill>
    </fill>
    <fill>
      <patternFill patternType="solid">
        <fgColor rgb="00EFF6FF"/>
      </patternFill>
    </fill>
    <fill>
      <patternFill patternType="solid">
        <fgColor rgb="00F8FAFC"/>
      </patternFill>
    </fill>
    <fill>
      <patternFill patternType="solid">
        <fgColor rgb="001D4ED8"/>
      </patternFill>
    </fill>
    <fill>
      <patternFill patternType="solid">
        <fgColor rgb="00334155"/>
      </patternFill>
    </fill>
    <fill>
      <patternFill patternType="solid">
        <fgColor rgb="00FFFFFF"/>
      </patternFill>
    </fill>
    <fill>
      <patternFill patternType="solid">
        <fgColor rgb="00059669"/>
      </patternFill>
    </fill>
    <fill>
      <patternFill patternType="solid">
        <fgColor rgb="00B91C1C"/>
      </patternFill>
    </fill>
    <fill>
      <patternFill patternType="solid">
        <fgColor rgb="00B45309"/>
      </patternFill>
    </fill>
    <fill>
      <patternFill patternType="solid">
        <fgColor rgb="00FEE2E2"/>
      </patternFill>
    </fill>
    <fill>
      <patternFill patternType="solid">
        <fgColor rgb="00FEF3C7"/>
      </patternFill>
    </fill>
    <fill>
      <patternFill patternType="solid">
        <fgColor rgb="00D1FAE5"/>
      </patternFill>
    </fill>
  </fills>
  <borders count="33">
    <border>
      <left/>
      <right/>
      <top/>
      <bottom/>
      <diagonal/>
    </border>
    <border>
      <bottom style="medium">
        <color rgb="0010B981"/>
      </bottom>
    </border>
    <border>
      <left style="thick">
        <color rgb="0010B981"/>
      </left>
      <bottom style="medium">
        <color rgb="0010B981"/>
      </bottom>
    </border>
    <border>
      <bottom style="medium">
        <color rgb="003B82F6"/>
      </bottom>
    </border>
    <border>
      <left style="thick">
        <color rgb="003B82F6"/>
      </left>
      <bottom style="medium">
        <color rgb="003B82F6"/>
      </bottom>
    </border>
    <border>
      <bottom style="medium">
        <color rgb="00F59E0B"/>
      </bottom>
    </border>
    <border>
      <left style="thick">
        <color rgb="00F59E0B"/>
      </left>
      <bottom style="medium">
        <color rgb="00F59E0B"/>
      </bottom>
    </border>
    <border>
      <left style="thin">
        <color rgb="00BFDBFE"/>
      </left>
      <right style="thin">
        <color rgb="00BFDBFE"/>
      </right>
      <top style="thin">
        <color rgb="00BFDBFE"/>
      </top>
      <bottom style="thin">
        <color rgb="00BFDBFE"/>
      </bottom>
    </border>
    <border>
      <bottom style="medium">
        <color rgb="008B5CF6"/>
      </bottom>
    </border>
    <border>
      <left style="thick">
        <color rgb="008B5CF6"/>
      </left>
      <bottom style="medium">
        <color rgb="008B5CF6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bottom style="medium">
        <color rgb="00EF4444"/>
      </bottom>
    </border>
    <border>
      <left style="thick">
        <color rgb="00EF4444"/>
      </left>
      <bottom style="medium">
        <color rgb="00EF4444"/>
      </bottom>
    </border>
    <border>
      <left style="thick">
        <color rgb="00FFFFFF"/>
      </left>
      <right style="thick">
        <color rgb="00FFFFFF"/>
      </right>
      <top style="thick">
        <color rgb="0010B981"/>
      </top>
    </border>
    <border>
      <left style="thick">
        <color rgb="00FFFFFF"/>
      </left>
      <right style="thick">
        <color rgb="00FFFFFF"/>
      </right>
    </border>
    <border>
      <left style="thick">
        <color rgb="00FFFFFF"/>
      </left>
      <right style="thick">
        <color rgb="00FFFFFF"/>
      </right>
      <top style="thick">
        <color rgb="003B82F6"/>
      </top>
    </border>
    <border>
      <left style="thick">
        <color rgb="00FFFFFF"/>
      </left>
      <right style="thick">
        <color rgb="00FFFFFF"/>
      </right>
      <top style="thick">
        <color rgb="008B5CF6"/>
      </top>
    </border>
    <border>
      <left style="thick">
        <color rgb="00FFFFFF"/>
      </left>
      <right style="thick">
        <color rgb="00FFFFFF"/>
      </right>
      <top style="thick">
        <color rgb="00F59E0B"/>
      </top>
    </border>
    <border>
      <left style="thick">
        <color rgb="00FFFFFF"/>
      </left>
      <right style="thick">
        <color rgb="00FFFFFF"/>
      </right>
      <top style="thick">
        <color rgb="00EF4444"/>
      </top>
    </border>
    <border>
      <left style="thin">
        <color rgb="000F172A"/>
      </left>
      <right style="thin">
        <color rgb="000F172A"/>
      </right>
      <top style="thin">
        <color rgb="000F172A"/>
      </top>
      <bottom style="thin">
        <color rgb="000F172A"/>
      </bottom>
    </border>
    <border>
      <left style="thick">
        <color rgb="008B5CF6"/>
      </left>
    </border>
    <border>
      <left style="thick">
        <color rgb="0010B981"/>
      </left>
      <right style="thin">
        <color rgb="00E2E8F0"/>
      </right>
      <top style="thin">
        <color rgb="00E2E8F0"/>
      </top>
    </border>
    <border>
      <right style="thin">
        <color rgb="00E2E8F0"/>
      </right>
      <top style="thin">
        <color rgb="00E2E8F0"/>
      </top>
    </border>
    <border>
      <left style="thick">
        <color rgb="0010B981"/>
      </left>
      <right style="thin">
        <color rgb="00E2E8F0"/>
      </right>
      <bottom style="thin">
        <color rgb="00E2E8F0"/>
      </bottom>
    </border>
    <border>
      <left style="thick">
        <color rgb="003B82F6"/>
      </left>
      <right style="thin">
        <color rgb="00E2E8F0"/>
      </right>
      <top style="thin">
        <color rgb="00E2E8F0"/>
      </top>
    </border>
    <border>
      <left style="thick">
        <color rgb="003B82F6"/>
      </left>
      <right style="thin">
        <color rgb="00E2E8F0"/>
      </right>
      <bottom style="thin">
        <color rgb="00E2E8F0"/>
      </bottom>
    </border>
    <border>
      <left style="thick">
        <color rgb="008B5CF6"/>
      </left>
      <right style="thin">
        <color rgb="00E2E8F0"/>
      </right>
      <top style="thin">
        <color rgb="00E2E8F0"/>
      </top>
    </border>
    <border>
      <left style="thick">
        <color rgb="008B5CF6"/>
      </left>
      <right style="thin">
        <color rgb="00E2E8F0"/>
      </right>
      <bottom style="thin">
        <color rgb="00E2E8F0"/>
      </bottom>
    </border>
    <border>
      <bottom style="medium">
        <color rgb="0064748B"/>
      </bottom>
    </border>
    <border>
      <left style="thick">
        <color rgb="0064748B"/>
      </left>
      <bottom style="medium">
        <color rgb="0064748B"/>
      </bottom>
    </border>
    <border>
      <left style="thick">
        <color rgb="0064748B"/>
      </left>
      <right style="thin">
        <color rgb="00E2E8F0"/>
      </right>
      <top style="thin">
        <color rgb="00E2E8F0"/>
      </top>
    </border>
    <border>
      <left style="thick">
        <color rgb="0064748B"/>
      </left>
      <right style="thin">
        <color rgb="00E2E8F0"/>
      </right>
      <bottom style="thin">
        <color rgb="00E2E8F0"/>
      </bottom>
    </border>
  </borders>
  <cellStyleXfs count="1">
    <xf numFmtId="0" fontId="0" fillId="0" borderId="0"/>
  </cellStyleXfs>
  <cellXfs count="230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bottom"/>
    </xf>
    <xf numFmtId="0" fontId="30" fillId="2" borderId="0" applyAlignment="1" pivotButton="0" quotePrefix="0" xfId="0">
      <alignment vertical="center"/>
    </xf>
    <xf numFmtId="0" fontId="3" fillId="2" borderId="0" applyAlignment="1" pivotButton="0" quotePrefix="0" xfId="0">
      <alignment vertical="top"/>
    </xf>
    <xf numFmtId="0" fontId="0" fillId="3" borderId="0" pivotButton="0" quotePrefix="0" xfId="0"/>
    <xf numFmtId="0" fontId="18" fillId="6" borderId="14" applyAlignment="1" pivotButton="0" quotePrefix="0" xfId="0">
      <alignment vertical="center" indent="1"/>
    </xf>
    <xf numFmtId="0" fontId="18" fillId="6" borderId="16" applyAlignment="1" pivotButton="0" quotePrefix="0" xfId="0">
      <alignment vertical="center" indent="1"/>
    </xf>
    <xf numFmtId="0" fontId="18" fillId="6" borderId="18" applyAlignment="1" pivotButton="0" quotePrefix="0" xfId="0">
      <alignment vertical="center" indent="1"/>
    </xf>
    <xf numFmtId="0" fontId="18" fillId="6" borderId="17" applyAlignment="1" pivotButton="0" quotePrefix="0" xfId="0">
      <alignment vertical="center" indent="1"/>
    </xf>
    <xf numFmtId="164" fontId="31" fillId="6" borderId="15" applyAlignment="1" pivotButton="0" quotePrefix="0" xfId="0">
      <alignment vertical="center" indent="1"/>
    </xf>
    <xf numFmtId="171" fontId="31" fillId="6" borderId="15" applyAlignment="1" pivotButton="0" quotePrefix="0" xfId="0">
      <alignment vertical="center" indent="1"/>
    </xf>
    <xf numFmtId="167" fontId="31" fillId="6" borderId="15" applyAlignment="1" pivotButton="0" quotePrefix="0" xfId="0">
      <alignment vertical="center" indent="1"/>
    </xf>
    <xf numFmtId="1" fontId="31" fillId="6" borderId="15" applyAlignment="1" pivotButton="0" quotePrefix="0" xfId="0">
      <alignment vertical="center" indent="1"/>
    </xf>
    <xf numFmtId="0" fontId="5" fillId="4" borderId="2" applyAlignment="1" pivotButton="0" quotePrefix="0" xfId="0">
      <alignment vertical="center" indent="1"/>
    </xf>
    <xf numFmtId="0" fontId="0" fillId="4" borderId="1" pivotButton="0" quotePrefix="0" xfId="0"/>
    <xf numFmtId="0" fontId="32" fillId="6" borderId="22" applyAlignment="1" pivotButton="0" quotePrefix="0" xfId="0">
      <alignment vertical="center"/>
    </xf>
    <xf numFmtId="0" fontId="32" fillId="6" borderId="23" applyAlignment="1" pivotButton="0" quotePrefix="0" xfId="0">
      <alignment vertical="center"/>
    </xf>
    <xf numFmtId="0" fontId="33" fillId="6" borderId="24" applyAlignment="1" pivotButton="0" quotePrefix="0" xfId="0">
      <alignment vertical="center" wrapText="1" indent="1"/>
    </xf>
    <xf numFmtId="0" fontId="5" fillId="4" borderId="4" applyAlignment="1" pivotButton="0" quotePrefix="0" xfId="0">
      <alignment vertical="center" indent="1"/>
    </xf>
    <xf numFmtId="0" fontId="0" fillId="4" borderId="3" pivotButton="0" quotePrefix="0" xfId="0"/>
    <xf numFmtId="0" fontId="32" fillId="6" borderId="25" applyAlignment="1" pivotButton="0" quotePrefix="0" xfId="0">
      <alignment vertical="center"/>
    </xf>
    <xf numFmtId="0" fontId="33" fillId="6" borderId="26" applyAlignment="1" pivotButton="0" quotePrefix="0" xfId="0">
      <alignment vertical="center" wrapText="1" indent="1"/>
    </xf>
    <xf numFmtId="0" fontId="5" fillId="4" borderId="9" applyAlignment="1" pivotButton="0" quotePrefix="0" xfId="0">
      <alignment vertical="center" indent="1"/>
    </xf>
    <xf numFmtId="0" fontId="0" fillId="4" borderId="8" pivotButton="0" quotePrefix="0" xfId="0"/>
    <xf numFmtId="0" fontId="32" fillId="6" borderId="27" applyAlignment="1" pivotButton="0" quotePrefix="0" xfId="0">
      <alignment vertical="center"/>
    </xf>
    <xf numFmtId="0" fontId="33" fillId="6" borderId="28" applyAlignment="1" pivotButton="0" quotePrefix="0" xfId="0">
      <alignment vertical="center" wrapText="1" indent="1"/>
    </xf>
    <xf numFmtId="0" fontId="5" fillId="4" borderId="30" applyAlignment="1" pivotButton="0" quotePrefix="0" xfId="0">
      <alignment vertical="center" indent="1"/>
    </xf>
    <xf numFmtId="0" fontId="0" fillId="4" borderId="29" pivotButton="0" quotePrefix="0" xfId="0"/>
    <xf numFmtId="0" fontId="32" fillId="6" borderId="31" applyAlignment="1" pivotButton="0" quotePrefix="0" xfId="0">
      <alignment vertical="center"/>
    </xf>
    <xf numFmtId="0" fontId="33" fillId="6" borderId="32" applyAlignment="1" pivotButton="0" quotePrefix="0" xfId="0">
      <alignment vertical="center" wrapText="1" indent="1"/>
    </xf>
    <xf numFmtId="0" fontId="34" fillId="0" borderId="0" applyAlignment="1" pivotButton="0" quotePrefix="0" xfId="0">
      <alignment horizontal="center" vertical="center" wrapText="1"/>
    </xf>
    <xf numFmtId="0" fontId="2" fillId="2" borderId="0" applyAlignment="1" pivotButton="0" quotePrefix="0" xfId="0">
      <alignment vertical="center"/>
    </xf>
    <xf numFmtId="0" fontId="4" fillId="2" borderId="0" applyAlignment="1" pivotButton="0" quotePrefix="0" xfId="0">
      <alignment horizontal="right" vertical="center"/>
    </xf>
    <xf numFmtId="0" fontId="35" fillId="10" borderId="11" applyAlignment="1" pivotButton="0" quotePrefix="0" xfId="0">
      <alignment horizontal="center" vertical="center"/>
    </xf>
    <xf numFmtId="0" fontId="13" fillId="6" borderId="10" applyAlignment="1" pivotButton="0" quotePrefix="0" xfId="0">
      <alignment vertical="center" wrapText="1" indent="1"/>
    </xf>
    <xf numFmtId="0" fontId="36" fillId="6" borderId="10" applyAlignment="1" pivotButton="0" quotePrefix="0" xfId="0">
      <alignment horizontal="center" vertical="center"/>
    </xf>
    <xf numFmtId="0" fontId="9" fillId="6" borderId="10" applyAlignment="1" pivotButton="0" quotePrefix="0" xfId="0">
      <alignment vertical="center" wrapText="1" indent="1"/>
    </xf>
    <xf numFmtId="0" fontId="11" fillId="2" borderId="11" applyAlignment="1" pivotButton="0" quotePrefix="0" xfId="0">
      <alignment horizontal="left" vertical="center" indent="1"/>
    </xf>
    <xf numFmtId="0" fontId="11" fillId="11" borderId="11" applyAlignment="1" pivotButton="0" quotePrefix="0" xfId="0">
      <alignment horizontal="center" vertical="center" wrapText="1"/>
    </xf>
    <xf numFmtId="0" fontId="11" fillId="12" borderId="11" applyAlignment="1" pivotButton="0" quotePrefix="0" xfId="0">
      <alignment horizontal="center" vertical="center" wrapText="1"/>
    </xf>
    <xf numFmtId="0" fontId="11" fillId="10" borderId="11" applyAlignment="1" pivotButton="0" quotePrefix="0" xfId="0">
      <alignment horizontal="center" vertical="center" wrapText="1"/>
    </xf>
    <xf numFmtId="0" fontId="13" fillId="6" borderId="10" applyAlignment="1" pivotButton="0" quotePrefix="0" xfId="0">
      <alignment vertical="center" indent="1"/>
    </xf>
    <xf numFmtId="0" fontId="37" fillId="13" borderId="11" applyAlignment="1" pivotButton="0" quotePrefix="0" xfId="0">
      <alignment horizontal="center" vertical="center"/>
    </xf>
    <xf numFmtId="0" fontId="38" fillId="14" borderId="11" applyAlignment="1" pivotButton="0" quotePrefix="0" xfId="0">
      <alignment horizontal="center" vertical="center"/>
    </xf>
    <xf numFmtId="0" fontId="10" fillId="15" borderId="11" applyAlignment="1" pivotButton="0" quotePrefix="0" xfId="0">
      <alignment horizontal="center" vertical="center"/>
    </xf>
    <xf numFmtId="0" fontId="39" fillId="6" borderId="10" applyAlignment="1" pivotButton="0" quotePrefix="0" xfId="0">
      <alignment vertical="center" wrapText="1" indent="1"/>
    </xf>
    <xf numFmtId="0" fontId="13" fillId="9" borderId="10" applyAlignment="1" pivotButton="0" quotePrefix="0" xfId="0">
      <alignment vertical="center" indent="1"/>
    </xf>
    <xf numFmtId="0" fontId="39" fillId="9" borderId="10" applyAlignment="1" pivotButton="0" quotePrefix="0" xfId="0">
      <alignment vertical="center" wrapText="1" indent="1"/>
    </xf>
    <xf numFmtId="0" fontId="7" fillId="5" borderId="7" applyAlignment="1" pivotButton="0" quotePrefix="0" xfId="0">
      <alignment horizontal="center" vertical="center"/>
    </xf>
    <xf numFmtId="0" fontId="9" fillId="0" borderId="0" applyAlignment="1" pivotButton="0" quotePrefix="0" xfId="0">
      <alignment vertical="center" indent="1"/>
    </xf>
    <xf numFmtId="0" fontId="9" fillId="6" borderId="10" applyAlignment="1" pivotButton="0" quotePrefix="0" xfId="0">
      <alignment horizontal="center" vertical="center"/>
    </xf>
    <xf numFmtId="0" fontId="10" fillId="0" borderId="10" applyAlignment="1" pivotButton="0" quotePrefix="0" xfId="0">
      <alignment horizontal="center" vertical="center"/>
    </xf>
    <xf numFmtId="0" fontId="37" fillId="0" borderId="10" applyAlignment="1" pivotButton="0" quotePrefix="0" xfId="0">
      <alignment horizontal="center" vertical="center"/>
    </xf>
    <xf numFmtId="0" fontId="5" fillId="4" borderId="6" applyAlignment="1" pivotButton="0" quotePrefix="0" xfId="0">
      <alignment vertical="center" indent="1"/>
    </xf>
    <xf numFmtId="0" fontId="0" fillId="4" borderId="5" pivotButton="0" quotePrefix="0" xfId="0"/>
    <xf numFmtId="0" fontId="13" fillId="9" borderId="10" applyAlignment="1" pivotButton="0" quotePrefix="0" xfId="0">
      <alignment vertical="center" wrapText="1" indent="1"/>
    </xf>
    <xf numFmtId="0" fontId="9" fillId="9" borderId="10" applyAlignment="1" pivotButton="0" quotePrefix="0" xfId="0">
      <alignment vertical="center" wrapText="1" indent="1"/>
    </xf>
    <xf numFmtId="0" fontId="6" fillId="0" borderId="0" applyAlignment="1" pivotButton="0" quotePrefix="0" xfId="0">
      <alignment vertical="center" indent="1"/>
    </xf>
    <xf numFmtId="0" fontId="8" fillId="0" borderId="0" applyAlignment="1" pivotButton="0" quotePrefix="0" xfId="0">
      <alignment vertical="center" indent="1"/>
    </xf>
    <xf numFmtId="164" fontId="7" fillId="5" borderId="7" applyAlignment="1" pivotButton="0" quotePrefix="0" xfId="0">
      <alignment horizontal="center" vertical="center"/>
    </xf>
    <xf numFmtId="166" fontId="7" fillId="5" borderId="7" applyAlignment="1" pivotButton="0" quotePrefix="0" xfId="0">
      <alignment horizontal="center" vertical="center"/>
    </xf>
    <xf numFmtId="1" fontId="7" fillId="5" borderId="7" applyAlignment="1" pivotButton="0" quotePrefix="0" xfId="0">
      <alignment horizontal="center" vertical="center"/>
    </xf>
    <xf numFmtId="167" fontId="7" fillId="5" borderId="7" applyAlignment="1" pivotButton="0" quotePrefix="0" xfId="0">
      <alignment horizontal="center" vertical="center"/>
    </xf>
    <xf numFmtId="168" fontId="7" fillId="5" borderId="7" applyAlignment="1" pivotButton="0" quotePrefix="0" xfId="0">
      <alignment horizontal="center" vertical="center"/>
    </xf>
    <xf numFmtId="10" fontId="7" fillId="5" borderId="7" applyAlignment="1" pivotButton="0" quotePrefix="0" xfId="0">
      <alignment horizontal="center" vertical="center"/>
    </xf>
    <xf numFmtId="0" fontId="18" fillId="6" borderId="14" applyAlignment="1" pivotButton="0" quotePrefix="0" xfId="0">
      <alignment horizontal="left" vertical="center" indent="1"/>
    </xf>
    <xf numFmtId="0" fontId="18" fillId="6" borderId="16" applyAlignment="1" pivotButton="0" quotePrefix="0" xfId="0">
      <alignment horizontal="left" vertical="center" indent="1"/>
    </xf>
    <xf numFmtId="0" fontId="18" fillId="6" borderId="17" applyAlignment="1" pivotButton="0" quotePrefix="0" xfId="0">
      <alignment horizontal="left" vertical="center" indent="1"/>
    </xf>
    <xf numFmtId="0" fontId="18" fillId="6" borderId="18" applyAlignment="1" pivotButton="0" quotePrefix="0" xfId="0">
      <alignment horizontal="left" vertical="center" indent="1"/>
    </xf>
    <xf numFmtId="164" fontId="19" fillId="6" borderId="15" applyAlignment="1" pivotButton="0" quotePrefix="0" xfId="0">
      <alignment horizontal="left" vertical="center" indent="1"/>
    </xf>
    <xf numFmtId="171" fontId="19" fillId="6" borderId="15" applyAlignment="1" pivotButton="0" quotePrefix="0" xfId="0">
      <alignment horizontal="left" vertical="center" indent="1"/>
    </xf>
    <xf numFmtId="172" fontId="19" fillId="6" borderId="15" applyAlignment="1" pivotButton="0" quotePrefix="0" xfId="0">
      <alignment horizontal="left" vertical="center" indent="1"/>
    </xf>
    <xf numFmtId="167" fontId="19" fillId="6" borderId="15" applyAlignment="1" pivotButton="0" quotePrefix="0" xfId="0">
      <alignment horizontal="left" vertical="center" indent="1"/>
    </xf>
    <xf numFmtId="2" fontId="19" fillId="6" borderId="15" applyAlignment="1" pivotButton="0" quotePrefix="0" xfId="0">
      <alignment horizontal="left" vertical="center" indent="1"/>
    </xf>
    <xf numFmtId="173" fontId="19" fillId="6" borderId="15" applyAlignment="1" pivotButton="0" quotePrefix="0" xfId="0">
      <alignment horizontal="left" vertical="center" indent="1"/>
    </xf>
    <xf numFmtId="0" fontId="20" fillId="6" borderId="15" applyAlignment="1" pivotButton="0" quotePrefix="0" xfId="0">
      <alignment horizontal="left" vertical="center" indent="1"/>
    </xf>
    <xf numFmtId="0" fontId="18" fillId="6" borderId="19" applyAlignment="1" pivotButton="0" quotePrefix="0" xfId="0">
      <alignment horizontal="left" vertical="center" indent="1"/>
    </xf>
    <xf numFmtId="1" fontId="19" fillId="6" borderId="15" applyAlignment="1" pivotButton="0" quotePrefix="0" xfId="0">
      <alignment horizontal="left" vertical="center" indent="1"/>
    </xf>
    <xf numFmtId="0" fontId="18" fillId="6" borderId="10" applyAlignment="1" pivotButton="0" quotePrefix="0" xfId="0">
      <alignment horizontal="center" vertical="center"/>
    </xf>
    <xf numFmtId="0" fontId="16" fillId="6" borderId="10" applyAlignment="1" pivotButton="0" quotePrefix="0" xfId="0">
      <alignment vertical="center" wrapText="1" indent="1"/>
    </xf>
    <xf numFmtId="0" fontId="18" fillId="9" borderId="10" applyAlignment="1" pivotButton="0" quotePrefix="0" xfId="0">
      <alignment horizontal="center" vertical="center"/>
    </xf>
    <xf numFmtId="0" fontId="16" fillId="9" borderId="10" applyAlignment="1" pivotButton="0" quotePrefix="0" xfId="0">
      <alignment vertical="center" wrapText="1" indent="1"/>
    </xf>
    <xf numFmtId="0" fontId="11" fillId="2" borderId="11" applyAlignment="1" pivotButton="0" quotePrefix="0" xfId="0">
      <alignment horizontal="center" vertical="center" wrapText="1"/>
    </xf>
    <xf numFmtId="0" fontId="16" fillId="6" borderId="10" applyAlignment="1" pivotButton="0" quotePrefix="0" xfId="0">
      <alignment horizontal="center" vertical="center"/>
    </xf>
    <xf numFmtId="0" fontId="21" fillId="6" borderId="10" applyAlignment="1" pivotButton="0" quotePrefix="0" xfId="0">
      <alignment horizontal="center" vertical="center"/>
    </xf>
    <xf numFmtId="166" fontId="16" fillId="6" borderId="10" applyAlignment="1" pivotButton="0" quotePrefix="0" xfId="0">
      <alignment horizontal="center" vertical="center"/>
    </xf>
    <xf numFmtId="169" fontId="16" fillId="6" borderId="10" applyAlignment="1" pivotButton="0" quotePrefix="0" xfId="0">
      <alignment horizontal="center" vertical="center"/>
    </xf>
    <xf numFmtId="164" fontId="16" fillId="6" borderId="10" applyAlignment="1" pivotButton="0" quotePrefix="0" xfId="0">
      <alignment horizontal="center" vertical="center"/>
    </xf>
    <xf numFmtId="2" fontId="16" fillId="6" borderId="10" applyAlignment="1" pivotButton="0" quotePrefix="0" xfId="0">
      <alignment horizontal="center" vertical="center"/>
    </xf>
    <xf numFmtId="1" fontId="16" fillId="6" borderId="10" applyAlignment="1" pivotButton="0" quotePrefix="0" xfId="0">
      <alignment horizontal="center" vertical="center"/>
    </xf>
    <xf numFmtId="0" fontId="16" fillId="9" borderId="10" applyAlignment="1" pivotButton="0" quotePrefix="0" xfId="0">
      <alignment horizontal="center" vertical="center"/>
    </xf>
    <xf numFmtId="0" fontId="21" fillId="9" borderId="10" applyAlignment="1" pivotButton="0" quotePrefix="0" xfId="0">
      <alignment horizontal="center" vertical="center"/>
    </xf>
    <xf numFmtId="166" fontId="16" fillId="9" borderId="10" applyAlignment="1" pivotButton="0" quotePrefix="0" xfId="0">
      <alignment horizontal="center" vertical="center"/>
    </xf>
    <xf numFmtId="169" fontId="16" fillId="9" borderId="10" applyAlignment="1" pivotButton="0" quotePrefix="0" xfId="0">
      <alignment horizontal="center" vertical="center"/>
    </xf>
    <xf numFmtId="164" fontId="16" fillId="9" borderId="10" applyAlignment="1" pivotButton="0" quotePrefix="0" xfId="0">
      <alignment horizontal="center" vertical="center"/>
    </xf>
    <xf numFmtId="2" fontId="16" fillId="9" borderId="10" applyAlignment="1" pivotButton="0" quotePrefix="0" xfId="0">
      <alignment horizontal="center" vertical="center"/>
    </xf>
    <xf numFmtId="1" fontId="16" fillId="9" borderId="10" applyAlignment="1" pivotButton="0" quotePrefix="0" xfId="0">
      <alignment horizontal="center" vertical="center"/>
    </xf>
    <xf numFmtId="0" fontId="22" fillId="0" borderId="0" applyAlignment="1" pivotButton="0" quotePrefix="0" xfId="0">
      <alignment horizontal="center" vertical="center"/>
    </xf>
    <xf numFmtId="0" fontId="11" fillId="7" borderId="0" applyAlignment="1" pivotButton="0" quotePrefix="0" xfId="0">
      <alignment vertical="center" indent="1"/>
    </xf>
    <xf numFmtId="0" fontId="0" fillId="7" borderId="0" pivotButton="0" quotePrefix="0" xfId="0"/>
    <xf numFmtId="0" fontId="11" fillId="8" borderId="0" applyAlignment="1" pivotButton="0" quotePrefix="0" xfId="0">
      <alignment vertical="center" indent="1"/>
    </xf>
    <xf numFmtId="0" fontId="0" fillId="8" borderId="0" pivotButton="0" quotePrefix="0" xfId="0"/>
    <xf numFmtId="0" fontId="11" fillId="8" borderId="11" applyAlignment="1" pivotButton="0" quotePrefix="0" xfId="0">
      <alignment horizontal="center" vertical="center" wrapText="1"/>
    </xf>
    <xf numFmtId="1" fontId="12" fillId="6" borderId="10" applyAlignment="1" pivotButton="0" quotePrefix="0" xfId="0">
      <alignment horizontal="center" vertical="center"/>
    </xf>
    <xf numFmtId="0" fontId="7" fillId="5" borderId="7" applyAlignment="1" pivotButton="0" quotePrefix="0" xfId="0">
      <alignment vertical="center"/>
    </xf>
    <xf numFmtId="164" fontId="7" fillId="5" borderId="7" applyAlignment="1" pivotButton="0" quotePrefix="0" xfId="0">
      <alignment vertical="center"/>
    </xf>
    <xf numFmtId="169" fontId="7" fillId="5" borderId="7" applyAlignment="1" pivotButton="0" quotePrefix="0" xfId="0">
      <alignment vertical="center"/>
    </xf>
    <xf numFmtId="170" fontId="9" fillId="6" borderId="10" applyAlignment="1" pivotButton="0" quotePrefix="0" xfId="0">
      <alignment vertical="center"/>
    </xf>
    <xf numFmtId="1" fontId="9" fillId="6" borderId="10" applyAlignment="1" pivotButton="0" quotePrefix="0" xfId="0">
      <alignment horizontal="center" vertical="center"/>
    </xf>
    <xf numFmtId="171" fontId="9" fillId="6" borderId="10" applyAlignment="1" pivotButton="0" quotePrefix="0" xfId="0">
      <alignment vertical="center"/>
    </xf>
    <xf numFmtId="172" fontId="9" fillId="6" borderId="10" applyAlignment="1" pivotButton="0" quotePrefix="0" xfId="0">
      <alignment vertical="center"/>
    </xf>
    <xf numFmtId="164" fontId="9" fillId="6" borderId="10" applyAlignment="1" pivotButton="0" quotePrefix="0" xfId="0">
      <alignment vertical="center"/>
    </xf>
    <xf numFmtId="173" fontId="9" fillId="6" borderId="10" applyAlignment="1" pivotButton="0" quotePrefix="0" xfId="0">
      <alignment horizontal="center" vertical="center"/>
    </xf>
    <xf numFmtId="2" fontId="9" fillId="6" borderId="10" applyAlignment="1" pivotButton="0" quotePrefix="0" xfId="0">
      <alignment horizontal="center" vertical="center"/>
    </xf>
    <xf numFmtId="166" fontId="9" fillId="6" borderId="10" applyAlignment="1" pivotButton="0" quotePrefix="0" xfId="0">
      <alignment vertical="center"/>
    </xf>
    <xf numFmtId="167" fontId="9" fillId="6" borderId="10" applyAlignment="1" pivotButton="0" quotePrefix="0" xfId="0">
      <alignment vertical="center"/>
    </xf>
    <xf numFmtId="0" fontId="11" fillId="2" borderId="11" applyAlignment="1" pivotButton="0" quotePrefix="0" xfId="0">
      <alignment horizontal="left" vertical="center" wrapText="1"/>
    </xf>
    <xf numFmtId="0" fontId="9" fillId="6" borderId="10" applyAlignment="1" pivotButton="0" quotePrefix="0" xfId="0">
      <alignment vertical="center" indent="1"/>
    </xf>
    <xf numFmtId="164" fontId="13" fillId="6" borderId="10" applyAlignment="1" pivotButton="0" quotePrefix="0" xfId="0">
      <alignment horizontal="center" vertical="center"/>
    </xf>
    <xf numFmtId="0" fontId="14" fillId="6" borderId="10" applyAlignment="1" pivotButton="0" quotePrefix="0" xfId="0">
      <alignment vertical="center" indent="1"/>
    </xf>
    <xf numFmtId="0" fontId="15" fillId="6" borderId="10" applyAlignment="1" pivotButton="0" quotePrefix="0" xfId="0">
      <alignment horizontal="center" vertical="center"/>
    </xf>
    <xf numFmtId="0" fontId="9" fillId="9" borderId="10" applyAlignment="1" pivotButton="0" quotePrefix="0" xfId="0">
      <alignment vertical="center" indent="1"/>
    </xf>
    <xf numFmtId="171" fontId="13" fillId="9" borderId="10" applyAlignment="1" pivotButton="0" quotePrefix="0" xfId="0">
      <alignment horizontal="center" vertical="center"/>
    </xf>
    <xf numFmtId="0" fontId="14" fillId="9" borderId="10" applyAlignment="1" pivotButton="0" quotePrefix="0" xfId="0">
      <alignment vertical="center" indent="1"/>
    </xf>
    <xf numFmtId="0" fontId="15" fillId="9" borderId="10" applyAlignment="1" pivotButton="0" quotePrefix="0" xfId="0">
      <alignment horizontal="center" vertical="center"/>
    </xf>
    <xf numFmtId="172" fontId="13" fillId="9" borderId="10" applyAlignment="1" pivotButton="0" quotePrefix="0" xfId="0">
      <alignment horizontal="center" vertical="center"/>
    </xf>
    <xf numFmtId="1" fontId="13" fillId="6" borderId="10" applyAlignment="1" pivotButton="0" quotePrefix="0" xfId="0">
      <alignment horizontal="center" vertical="center"/>
    </xf>
    <xf numFmtId="1" fontId="13" fillId="9" borderId="10" applyAlignment="1" pivotButton="0" quotePrefix="0" xfId="0">
      <alignment horizontal="center" vertical="center"/>
    </xf>
    <xf numFmtId="167" fontId="13" fillId="6" borderId="10" applyAlignment="1" pivotButton="0" quotePrefix="0" xfId="0">
      <alignment horizontal="center" vertical="center"/>
    </xf>
    <xf numFmtId="164" fontId="13" fillId="9" borderId="10" applyAlignment="1" pivotButton="0" quotePrefix="0" xfId="0">
      <alignment horizontal="center" vertical="center"/>
    </xf>
    <xf numFmtId="2" fontId="13" fillId="9" borderId="10" applyAlignment="1" pivotButton="0" quotePrefix="0" xfId="0">
      <alignment horizontal="center" vertical="center"/>
    </xf>
    <xf numFmtId="2" fontId="13" fillId="6" borderId="10" applyAlignment="1" pivotButton="0" quotePrefix="0" xfId="0">
      <alignment horizontal="center" vertical="center"/>
    </xf>
    <xf numFmtId="173" fontId="13" fillId="6" borderId="10" applyAlignment="1" pivotButton="0" quotePrefix="0" xfId="0">
      <alignment horizontal="center" vertical="center"/>
    </xf>
    <xf numFmtId="171" fontId="13" fillId="6" borderId="10" applyAlignment="1" pivotButton="0" quotePrefix="0" xfId="0">
      <alignment horizontal="center" vertical="center"/>
    </xf>
    <xf numFmtId="174" fontId="13" fillId="9" borderId="10" applyAlignment="1" pivotButton="0" quotePrefix="0" xfId="0">
      <alignment horizontal="center" vertical="center"/>
    </xf>
    <xf numFmtId="167" fontId="13" fillId="9" borderId="10" applyAlignment="1" pivotButton="0" quotePrefix="0" xfId="0">
      <alignment horizontal="center" vertical="center"/>
    </xf>
    <xf numFmtId="168" fontId="13" fillId="6" borderId="10" applyAlignment="1" pivotButton="0" quotePrefix="0" xfId="0">
      <alignment horizontal="center" vertical="center"/>
    </xf>
    <xf numFmtId="168" fontId="13" fillId="9" borderId="10" applyAlignment="1" pivotButton="0" quotePrefix="0" xfId="0">
      <alignment horizontal="center" vertical="center"/>
    </xf>
    <xf numFmtId="0" fontId="16" fillId="6" borderId="10" applyAlignment="1" pivotButton="0" quotePrefix="0" xfId="0">
      <alignment horizontal="left" vertical="center" indent="1"/>
    </xf>
    <xf numFmtId="175" fontId="9" fillId="6" borderId="10" applyAlignment="1" pivotButton="0" quotePrefix="0" xfId="0">
      <alignment horizontal="center" vertical="center"/>
    </xf>
    <xf numFmtId="171" fontId="6" fillId="6" borderId="10" applyAlignment="1" pivotButton="0" quotePrefix="0" xfId="0">
      <alignment horizontal="center" vertical="center"/>
    </xf>
    <xf numFmtId="176" fontId="9" fillId="6" borderId="10" applyAlignment="1" pivotButton="0" quotePrefix="0" xfId="0">
      <alignment horizontal="center" vertical="center"/>
    </xf>
    <xf numFmtId="177" fontId="9" fillId="6" borderId="10" applyAlignment="1" pivotButton="0" quotePrefix="0" xfId="0">
      <alignment horizontal="center" vertical="center"/>
    </xf>
    <xf numFmtId="171" fontId="9" fillId="6" borderId="10" applyAlignment="1" pivotButton="0" quotePrefix="0" xfId="0">
      <alignment horizontal="center" vertical="center"/>
    </xf>
    <xf numFmtId="0" fontId="16" fillId="9" borderId="10" applyAlignment="1" pivotButton="0" quotePrefix="0" xfId="0">
      <alignment horizontal="left" vertical="center" indent="1"/>
    </xf>
    <xf numFmtId="1" fontId="9" fillId="9" borderId="10" applyAlignment="1" pivotButton="0" quotePrefix="0" xfId="0">
      <alignment horizontal="center" vertical="center"/>
    </xf>
    <xf numFmtId="175" fontId="9" fillId="9" borderId="10" applyAlignment="1" pivotButton="0" quotePrefix="0" xfId="0">
      <alignment horizontal="center" vertical="center"/>
    </xf>
    <xf numFmtId="171" fontId="6" fillId="9" borderId="10" applyAlignment="1" pivotButton="0" quotePrefix="0" xfId="0">
      <alignment horizontal="center" vertical="center"/>
    </xf>
    <xf numFmtId="176" fontId="9" fillId="9" borderId="10" applyAlignment="1" pivotButton="0" quotePrefix="0" xfId="0">
      <alignment horizontal="center" vertical="center"/>
    </xf>
    <xf numFmtId="177" fontId="9" fillId="9" borderId="10" applyAlignment="1" pivotButton="0" quotePrefix="0" xfId="0">
      <alignment horizontal="center" vertical="center"/>
    </xf>
    <xf numFmtId="171" fontId="9" fillId="9" borderId="10" applyAlignment="1" pivotButton="0" quotePrefix="0" xfId="0">
      <alignment horizontal="center" vertical="center"/>
    </xf>
    <xf numFmtId="0" fontId="5" fillId="4" borderId="13" applyAlignment="1" pivotButton="0" quotePrefix="0" xfId="0">
      <alignment vertical="center" indent="1"/>
    </xf>
    <xf numFmtId="0" fontId="0" fillId="4" borderId="12" pivotButton="0" quotePrefix="0" xfId="0"/>
    <xf numFmtId="1" fontId="6" fillId="6" borderId="10" applyAlignment="1" pivotButton="0" quotePrefix="0" xfId="0">
      <alignment horizontal="center" vertical="center"/>
    </xf>
    <xf numFmtId="1" fontId="6" fillId="9" borderId="10" applyAlignment="1" pivotButton="0" quotePrefix="0" xfId="0">
      <alignment horizontal="center" vertical="center"/>
    </xf>
    <xf numFmtId="164" fontId="10" fillId="6" borderId="10" applyAlignment="1" pivotButton="0" quotePrefix="0" xfId="0">
      <alignment horizontal="center" vertical="center"/>
    </xf>
    <xf numFmtId="167" fontId="10" fillId="6" borderId="10" applyAlignment="1" pivotButton="0" quotePrefix="0" xfId="0">
      <alignment horizontal="center" vertical="center"/>
    </xf>
    <xf numFmtId="166" fontId="13" fillId="6" borderId="10" applyAlignment="1" pivotButton="0" quotePrefix="0" xfId="0">
      <alignment horizontal="center" vertical="center"/>
    </xf>
    <xf numFmtId="9" fontId="13" fillId="6" borderId="10" applyAlignment="1" pivotButton="0" quotePrefix="0" xfId="0">
      <alignment horizontal="center" vertical="center"/>
    </xf>
    <xf numFmtId="0" fontId="11" fillId="2" borderId="11" applyAlignment="1" pivotButton="0" quotePrefix="0" xfId="0">
      <alignment horizontal="center" vertical="center"/>
    </xf>
    <xf numFmtId="9" fontId="6" fillId="6" borderId="10" applyAlignment="1" pivotButton="0" quotePrefix="0" xfId="0">
      <alignment horizontal="center" vertical="center"/>
    </xf>
    <xf numFmtId="0" fontId="6" fillId="6" borderId="10" applyAlignment="1" pivotButton="0" quotePrefix="0" xfId="0">
      <alignment horizontal="center" vertical="center"/>
    </xf>
    <xf numFmtId="179" fontId="9" fillId="6" borderId="10" applyAlignment="1" pivotButton="0" quotePrefix="0" xfId="0">
      <alignment horizontal="center" vertical="center"/>
    </xf>
    <xf numFmtId="164" fontId="13" fillId="6" borderId="10" applyAlignment="1" pivotButton="0" quotePrefix="0" xfId="0">
      <alignment vertical="center"/>
    </xf>
    <xf numFmtId="164" fontId="12" fillId="6" borderId="10" applyAlignment="1" pivotButton="0" quotePrefix="0" xfId="0">
      <alignment vertical="center"/>
    </xf>
    <xf numFmtId="171" fontId="6" fillId="6" borderId="10" applyAlignment="1" pivotButton="0" quotePrefix="0" xfId="0">
      <alignment vertical="center"/>
    </xf>
    <xf numFmtId="179" fontId="9" fillId="9" borderId="10" applyAlignment="1" pivotButton="0" quotePrefix="0" xfId="0">
      <alignment horizontal="center" vertical="center"/>
    </xf>
    <xf numFmtId="164" fontId="9" fillId="9" borderId="10" applyAlignment="1" pivotButton="0" quotePrefix="0" xfId="0">
      <alignment vertical="center"/>
    </xf>
    <xf numFmtId="171" fontId="9" fillId="9" borderId="10" applyAlignment="1" pivotButton="0" quotePrefix="0" xfId="0">
      <alignment vertical="center"/>
    </xf>
    <xf numFmtId="164" fontId="13" fillId="9" borderId="10" applyAlignment="1" pivotButton="0" quotePrefix="0" xfId="0">
      <alignment vertical="center"/>
    </xf>
    <xf numFmtId="164" fontId="12" fillId="9" borderId="10" applyAlignment="1" pivotButton="0" quotePrefix="0" xfId="0">
      <alignment vertical="center"/>
    </xf>
    <xf numFmtId="171" fontId="6" fillId="9" borderId="10" applyAlignment="1" pivotButton="0" quotePrefix="0" xfId="0">
      <alignment vertical="center"/>
    </xf>
    <xf numFmtId="0" fontId="6" fillId="6" borderId="10" applyAlignment="1" pivotButton="0" quotePrefix="0" xfId="0">
      <alignment vertical="center" wrapText="1" indent="1"/>
    </xf>
    <xf numFmtId="0" fontId="7" fillId="5" borderId="7" applyAlignment="1" pivotButton="0" quotePrefix="0" xfId="0">
      <alignment vertical="center" wrapText="1" indent="1"/>
    </xf>
    <xf numFmtId="0" fontId="7" fillId="5" borderId="7" applyAlignment="1" pivotButton="0" quotePrefix="0" xfId="0">
      <alignment vertical="center" wrapText="1"/>
    </xf>
    <xf numFmtId="0" fontId="6" fillId="6" borderId="10" applyAlignment="1" pivotButton="0" quotePrefix="0" xfId="0">
      <alignment vertical="center" indent="1"/>
    </xf>
    <xf numFmtId="168" fontId="10" fillId="6" borderId="10" applyAlignment="1" pivotButton="0" quotePrefix="0" xfId="0">
      <alignment horizontal="center" vertical="center"/>
    </xf>
    <xf numFmtId="1" fontId="10" fillId="6" borderId="10" applyAlignment="1" pivotButton="0" quotePrefix="0" xfId="0">
      <alignment horizontal="center" vertical="center"/>
    </xf>
    <xf numFmtId="0" fontId="23" fillId="6" borderId="10" applyAlignment="1" pivotButton="0" quotePrefix="0" xfId="0">
      <alignment vertical="center" indent="1"/>
    </xf>
    <xf numFmtId="0" fontId="23" fillId="9" borderId="10" applyAlignment="1" pivotButton="0" quotePrefix="0" xfId="0">
      <alignment vertical="center" indent="1"/>
    </xf>
    <xf numFmtId="0" fontId="24" fillId="2" borderId="20" applyAlignment="1" pivotButton="0" quotePrefix="0" xfId="0">
      <alignment vertical="center" indent="1"/>
    </xf>
    <xf numFmtId="180" fontId="25" fillId="4" borderId="10" applyAlignment="1" pivotButton="0" quotePrefix="0" xfId="0">
      <alignment horizontal="center" vertical="center"/>
    </xf>
    <xf numFmtId="0" fontId="5" fillId="4" borderId="10" applyAlignment="1" pivotButton="0" quotePrefix="0" xfId="0">
      <alignment horizontal="left" vertical="center" indent="1"/>
    </xf>
    <xf numFmtId="0" fontId="26" fillId="6" borderId="10" applyAlignment="1" pivotButton="0" quotePrefix="0" xfId="0">
      <alignment horizontal="center" vertical="center"/>
    </xf>
    <xf numFmtId="0" fontId="9" fillId="0" borderId="10" applyAlignment="1" pivotButton="0" quotePrefix="0" xfId="0">
      <alignment vertical="center" indent="1"/>
    </xf>
    <xf numFmtId="172" fontId="9" fillId="6" borderId="10" applyAlignment="1" pivotButton="0" quotePrefix="0" xfId="0">
      <alignment horizontal="center" vertical="center"/>
    </xf>
    <xf numFmtId="169" fontId="7" fillId="5" borderId="7" applyAlignment="1" pivotButton="0" quotePrefix="0" xfId="0">
      <alignment horizontal="center" vertical="center"/>
    </xf>
    <xf numFmtId="0" fontId="11" fillId="2" borderId="0" applyAlignment="1" pivotButton="0" quotePrefix="0" xfId="0">
      <alignment vertical="center" indent="1"/>
    </xf>
    <xf numFmtId="167" fontId="9" fillId="6" borderId="10" applyAlignment="1" pivotButton="0" quotePrefix="0" xfId="0">
      <alignment horizontal="center" vertical="center"/>
    </xf>
    <xf numFmtId="170" fontId="13" fillId="6" borderId="10" applyAlignment="1" pivotButton="0" quotePrefix="0" xfId="0">
      <alignment horizontal="center" vertical="center"/>
    </xf>
    <xf numFmtId="164" fontId="9" fillId="6" borderId="10" applyAlignment="1" pivotButton="0" quotePrefix="0" xfId="0">
      <alignment horizontal="center" vertical="center"/>
    </xf>
    <xf numFmtId="181" fontId="9" fillId="6" borderId="10" applyAlignment="1" pivotButton="0" quotePrefix="0" xfId="0">
      <alignment horizontal="center" vertical="center"/>
    </xf>
    <xf numFmtId="0" fontId="5" fillId="4" borderId="10" applyAlignment="1" pivotButton="0" quotePrefix="0" xfId="0">
      <alignment vertical="center" wrapText="1" indent="1"/>
    </xf>
    <xf numFmtId="182" fontId="7" fillId="5" borderId="7" applyAlignment="1" pivotButton="0" quotePrefix="0" xfId="0">
      <alignment horizontal="center" vertical="center"/>
    </xf>
    <xf numFmtId="182" fontId="16" fillId="6" borderId="10" applyAlignment="1" pivotButton="0" quotePrefix="0" xfId="0">
      <alignment horizontal="center" vertical="center"/>
    </xf>
    <xf numFmtId="169" fontId="13" fillId="6" borderId="10" applyAlignment="1" pivotButton="0" quotePrefix="0" xfId="0">
      <alignment horizontal="center" vertical="center"/>
    </xf>
    <xf numFmtId="167" fontId="16" fillId="6" borderId="10" applyAlignment="1" pivotButton="0" quotePrefix="0" xfId="0">
      <alignment horizontal="center" vertical="center"/>
    </xf>
    <xf numFmtId="9" fontId="7" fillId="5" borderId="7" applyAlignment="1" pivotButton="0" quotePrefix="0" xfId="0">
      <alignment horizontal="center" vertical="center"/>
    </xf>
    <xf numFmtId="0" fontId="13" fillId="4" borderId="10" applyAlignment="1" pivotButton="0" quotePrefix="0" xfId="0">
      <alignment vertical="center" indent="1"/>
    </xf>
    <xf numFmtId="0" fontId="9" fillId="4" borderId="10" applyAlignment="1" pivotButton="0" quotePrefix="0" xfId="0">
      <alignment vertical="center"/>
    </xf>
    <xf numFmtId="9" fontId="13" fillId="4" borderId="10" applyAlignment="1" pivotButton="0" quotePrefix="0" xfId="0">
      <alignment horizontal="center" vertical="center"/>
    </xf>
    <xf numFmtId="173" fontId="13" fillId="4" borderId="10" applyAlignment="1" pivotButton="0" quotePrefix="0" xfId="0">
      <alignment horizontal="center" vertical="center"/>
    </xf>
    <xf numFmtId="2" fontId="7" fillId="5" borderId="7" applyAlignment="1" pivotButton="0" quotePrefix="0" xfId="0">
      <alignment horizontal="center" vertical="center"/>
    </xf>
    <xf numFmtId="173" fontId="16" fillId="6" borderId="10" applyAlignment="1" pivotButton="0" quotePrefix="0" xfId="0">
      <alignment horizontal="center" vertical="center"/>
    </xf>
    <xf numFmtId="172" fontId="13" fillId="6" borderId="10" applyAlignment="1" pivotButton="0" quotePrefix="0" xfId="0">
      <alignment horizontal="center" vertical="center"/>
    </xf>
    <xf numFmtId="0" fontId="13" fillId="4" borderId="10" applyAlignment="1" pivotButton="0" quotePrefix="0" xfId="0">
      <alignment vertical="center" wrapText="1" indent="1"/>
    </xf>
    <xf numFmtId="0" fontId="9" fillId="0" borderId="10" applyAlignment="1" pivotButton="0" quotePrefix="0" xfId="0">
      <alignment vertical="center" wrapText="1" indent="1"/>
    </xf>
    <xf numFmtId="9" fontId="9" fillId="6" borderId="10" applyAlignment="1" pivotButton="0" quotePrefix="0" xfId="0">
      <alignment horizontal="left" vertical="center" indent="1"/>
    </xf>
    <xf numFmtId="9" fontId="9" fillId="9" borderId="10" applyAlignment="1" pivotButton="0" quotePrefix="0" xfId="0">
      <alignment horizontal="left" vertical="center" indent="1"/>
    </xf>
    <xf numFmtId="9" fontId="6" fillId="9" borderId="10" applyAlignment="1" pivotButton="0" quotePrefix="0" xfId="0">
      <alignment horizontal="center" vertical="center"/>
    </xf>
    <xf numFmtId="167" fontId="27" fillId="5" borderId="7" applyAlignment="1" pivotButton="0" quotePrefix="0" xfId="0">
      <alignment horizontal="center" vertical="center"/>
    </xf>
    <xf numFmtId="1" fontId="9" fillId="6" borderId="10" applyAlignment="1" pivotButton="0" quotePrefix="0" xfId="0">
      <alignment horizontal="left" vertical="center" indent="1"/>
    </xf>
    <xf numFmtId="1" fontId="9" fillId="9" borderId="10" applyAlignment="1" pivotButton="0" quotePrefix="0" xfId="0">
      <alignment horizontal="left" vertical="center" indent="1"/>
    </xf>
    <xf numFmtId="167" fontId="9" fillId="9" borderId="10" applyAlignment="1" pivotButton="0" quotePrefix="0" xfId="0">
      <alignment horizontal="center" vertical="center"/>
    </xf>
    <xf numFmtId="168" fontId="11" fillId="2" borderId="11" applyAlignment="1" pivotButton="0" quotePrefix="0" xfId="0">
      <alignment horizontal="center" vertical="center" wrapText="1"/>
    </xf>
    <xf numFmtId="183" fontId="9" fillId="9" borderId="10" applyAlignment="1" pivotButton="0" quotePrefix="0" xfId="0">
      <alignment horizontal="center" vertical="center"/>
    </xf>
    <xf numFmtId="0" fontId="8" fillId="0" borderId="0" applyAlignment="1" pivotButton="0" quotePrefix="0" xfId="0">
      <alignment vertical="top" wrapText="1" indent="1"/>
    </xf>
    <xf numFmtId="0" fontId="29" fillId="4" borderId="21" applyAlignment="1" pivotButton="0" quotePrefix="0" xfId="0">
      <alignment vertical="center" wrapText="1" indent="1"/>
    </xf>
    <xf numFmtId="0" fontId="18" fillId="6" borderId="10" applyAlignment="1" pivotButton="0" quotePrefix="0" xfId="0">
      <alignment horizontal="center" vertical="center" wrapText="1"/>
    </xf>
    <xf numFmtId="0" fontId="8" fillId="0" borderId="0" applyAlignment="1" pivotButton="0" quotePrefix="0" xfId="0">
      <alignment vertical="center" wrapText="1" indent="1"/>
    </xf>
    <xf numFmtId="1" fontId="28" fillId="6" borderId="10" applyAlignment="1" pivotButton="0" quotePrefix="0" xfId="0">
      <alignment horizontal="center" vertical="center"/>
    </xf>
    <xf numFmtId="168" fontId="28" fillId="6" borderId="10" applyAlignment="1" pivotButton="0" quotePrefix="0" xfId="0">
      <alignment horizontal="center" vertical="center"/>
    </xf>
    <xf numFmtId="0" fontId="13" fillId="6" borderId="10" applyAlignment="1" pivotButton="0" quotePrefix="0" xfId="0">
      <alignment horizontal="center" vertical="center" wrapText="1"/>
    </xf>
    <xf numFmtId="0" fontId="13" fillId="9" borderId="10" applyAlignment="1" pivotButton="0" quotePrefix="0" xfId="0">
      <alignment horizontal="center" vertical="center" wrapText="1"/>
    </xf>
    <xf numFmtId="0" fontId="9" fillId="6" borderId="10" applyAlignment="1" pivotButton="0" quotePrefix="0" xfId="0">
      <alignment vertical="center"/>
    </xf>
    <xf numFmtId="0" fontId="17" fillId="0" borderId="0" pivotButton="0" quotePrefix="0" xfId="0"/>
    <xf numFmtId="0" fontId="15" fillId="0" borderId="0" pivotButton="0" quotePrefix="0" xfId="0"/>
    <xf numFmtId="178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dxfs count="19">
    <dxf>
      <font>
        <name val="Arial"/>
        <b val="1"/>
        <color rgb="00B91C1C"/>
        <sz val="20"/>
      </font>
    </dxf>
    <dxf>
      <font>
        <name val="Arial"/>
        <b val="1"/>
        <color rgb="00059669"/>
        <sz val="20"/>
      </font>
    </dxf>
    <dxf>
      <font>
        <name val="Arial"/>
        <b val="1"/>
        <color rgb="00059669"/>
        <sz val="8"/>
      </font>
      <fill>
        <patternFill patternType="solid">
          <fgColor rgb="00D1FAE5"/>
        </patternFill>
      </fill>
    </dxf>
    <dxf>
      <font>
        <name val="Arial"/>
        <b val="1"/>
        <color rgb="00B91C1C"/>
        <sz val="8"/>
      </font>
      <fill>
        <patternFill patternType="solid">
          <fgColor rgb="00FEE2E2"/>
        </patternFill>
      </fill>
    </dxf>
    <dxf>
      <font>
        <name val="Arial"/>
        <b val="1"/>
        <color rgb="00B45309"/>
        <sz val="8"/>
      </font>
      <fill>
        <patternFill patternType="solid">
          <fgColor rgb="00FEF3C7"/>
        </patternFill>
      </fill>
    </dxf>
    <dxf>
      <font>
        <name val="Arial"/>
        <b val="1"/>
        <color rgb="0064748B"/>
        <sz val="8"/>
      </font>
      <fill>
        <patternFill patternType="solid">
          <fgColor rgb="00F1F5F9"/>
        </patternFill>
      </fill>
    </dxf>
    <dxf>
      <font>
        <name val="Arial"/>
        <b val="1"/>
        <color rgb="00B91C1C"/>
      </font>
    </dxf>
    <dxf>
      <font>
        <name val="Arial"/>
        <b val="1"/>
        <color rgb="00059669"/>
      </font>
    </dxf>
    <dxf>
      <font>
        <name val="Arial"/>
        <b val="1"/>
        <color rgb="00059669"/>
      </font>
      <fill>
        <patternFill patternType="solid">
          <fgColor rgb="00D1FAE5"/>
        </patternFill>
      </fill>
    </dxf>
    <dxf>
      <font>
        <name val="Arial"/>
        <b val="1"/>
        <color rgb="00B91C1C"/>
      </font>
      <fill>
        <patternFill patternType="solid">
          <fgColor rgb="00FEE2E2"/>
        </patternFill>
      </fill>
    </dxf>
    <dxf>
      <font>
        <name val="Arial"/>
        <b val="1"/>
        <color rgb="001D4ED8"/>
      </font>
      <fill>
        <patternFill patternType="solid">
          <fgColor rgb="00EFF6FF"/>
        </patternFill>
      </fill>
    </dxf>
    <dxf>
      <font>
        <name val="Arial"/>
        <b val="1"/>
        <color rgb="0064748B"/>
      </font>
      <fill>
        <patternFill patternType="solid">
          <fgColor rgb="00F1F5F9"/>
        </patternFill>
      </fill>
    </dxf>
    <dxf>
      <font>
        <name val="Arial"/>
        <color rgb="00B91C1C"/>
      </font>
    </dxf>
    <dxf>
      <font>
        <name val="Arial"/>
        <b val="1"/>
        <color rgb="00B45309"/>
      </font>
      <fill>
        <patternFill patternType="solid">
          <fgColor rgb="00FEF3C7"/>
        </patternFill>
      </fill>
    </dxf>
    <dxf>
      <fill>
        <patternFill patternType="solid">
          <fgColor rgb="00D1FAE5"/>
        </patternFill>
      </fill>
    </dxf>
    <dxf>
      <font>
        <name val="Arial"/>
        <b val="1"/>
        <color rgb="00059669"/>
        <sz val="11"/>
      </font>
    </dxf>
    <dxf>
      <font>
        <name val="Arial"/>
        <b val="1"/>
        <color rgb="00B91C1C"/>
        <sz val="11"/>
      </font>
    </dxf>
    <dxf>
      <font>
        <name val="Arial"/>
        <b val="1"/>
        <color rgb="00059669"/>
        <sz val="11"/>
      </font>
      <fill>
        <patternFill patternType="solid">
          <fgColor rgb="00D1FAE5"/>
        </patternFill>
      </fill>
    </dxf>
    <dxf>
      <font>
        <name val="Arial"/>
        <b val="1"/>
        <color rgb="00B91C1C"/>
        <sz val="11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styles" Target="styles.xml" Id="rId22"/><Relationship Type="http://schemas.openxmlformats.org/officeDocument/2006/relationships/theme" Target="theme/theme1.xml" Id="rId23"/></Relationships>
</file>

<file path=xl/charts/chart1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Courbe de capital (60 derniers trades)</a:t>
            </a:r>
          </a:p>
        </rich>
      </tx>
      <overlay val="0"/>
    </title>
    <plotArea>
      <lineChart>
        <grouping val="standard"/>
        <ser>
          <idx val="0"/>
          <order val="0"/>
          <tx>
            <v>Capital</v>
          </tx>
          <spPr>
            <a:ln xmlns:a="http://schemas.openxmlformats.org/drawingml/2006/main" w="28575">
              <a:solidFill>
                <a:srgbClr val="10B981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'Données'!$D$6:$D$65</f>
            </numRef>
          </cat>
          <val>
            <numRef>
              <f>'Données'!$E$6:$E$65</f>
            </numRef>
          </val>
          <smooth val="0"/>
        </ser>
        <ser>
          <idx val="1"/>
          <order val="1"/>
          <tx>
            <v>Capital de départ</v>
          </tx>
          <spPr>
            <a:ln xmlns:a="http://schemas.openxmlformats.org/drawingml/2006/main" w="15875">
              <a:solidFill>
                <a:srgbClr val="94A3B8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'Données'!$D$6:$D$65</f>
            </numRef>
          </cat>
          <val>
            <numRef>
              <f>'Données'!$K$6:$K$65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  <tickLblSkip val="5"/>
        <tickMarkSkip val="5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334155"/>
              </a:solidFill>
              <a:latin typeface="Arial"/>
            </a:defRPr>
          </a:pPr>
          <a:r>
            <a:t/>
          </a:r>
          <a:endParaRPr sz="800" b="0">
            <a:solidFill>
              <a:srgbClr val="334155"/>
            </a:solidFill>
            <a:latin typeface="Arial"/>
          </a:endParaRPr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2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Drawdown depuis le dernier plus haut</a:t>
            </a:r>
          </a:p>
        </rich>
      </tx>
      <overlay val="0"/>
    </title>
    <plotArea>
      <areaChart>
        <grouping val="standard"/>
        <ser>
          <idx val="0"/>
          <order val="0"/>
          <tx>
            <v>Drawdown</v>
          </tx>
          <spPr>
            <a:solidFill xmlns:a="http://schemas.openxmlformats.org/drawingml/2006/main">
              <a:srgbClr val="F87171"/>
            </a:solidFill>
            <a:ln xmlns:a="http://schemas.openxmlformats.org/drawingml/2006/main">
              <a:solidFill>
                <a:srgbClr val="F87171"/>
              </a:solidFill>
              <a:prstDash val="solid"/>
            </a:ln>
          </spPr>
          <cat>
            <numRef>
              <f>'Données'!$D$6:$D$65</f>
            </numRef>
          </cat>
          <val>
            <numRef>
              <f>'Données'!$G$6:$G$65</f>
            </numRef>
          </val>
        </ser>
        <axId val="10"/>
        <axId val="100"/>
      </area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  <tickLblSkip val="5"/>
        <tickMarkSkip val="5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0%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3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P&amp;L net par trade (60 derniers)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Gains</v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noFill/>
              <a:prstDash val="solid"/>
            </a:ln>
          </spPr>
          <cat>
            <numRef>
              <f>'Données'!$D$6:$D$65</f>
            </numRef>
          </cat>
          <val>
            <numRef>
              <f>'Données'!$I$6:$I$65</f>
            </numRef>
          </val>
        </ser>
        <ser>
          <idx val="1"/>
          <order val="1"/>
          <tx>
            <v>Pertes</v>
          </tx>
          <spPr>
            <a:solidFill xmlns:a="http://schemas.openxmlformats.org/drawingml/2006/main">
              <a:srgbClr val="EF4444"/>
            </a:solidFill>
            <a:ln xmlns:a="http://schemas.openxmlformats.org/drawingml/2006/main">
              <a:noFill/>
              <a:prstDash val="solid"/>
            </a:ln>
          </spPr>
          <cat>
            <numRef>
              <f>'Données'!$D$6:$D$65</f>
            </numRef>
          </cat>
          <val>
            <numRef>
              <f>'Données'!$J$6:$J$65</f>
            </numRef>
          </val>
        </ser>
        <gapWidth val="3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4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P&amp;L net par mois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Gains</v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noFill/>
              <a:prstDash val="solid"/>
            </a:ln>
          </spPr>
          <cat>
            <numRef>
              <f>'Données'!$A$114:$A$125</f>
            </numRef>
          </cat>
          <val>
            <numRef>
              <f>'Données'!$C$114:$C$125</f>
            </numRef>
          </val>
        </ser>
        <ser>
          <idx val="1"/>
          <order val="1"/>
          <tx>
            <v>Pertes</v>
          </tx>
          <spPr>
            <a:solidFill xmlns:a="http://schemas.openxmlformats.org/drawingml/2006/main">
              <a:srgbClr val="EF4444"/>
            </a:solidFill>
            <a:ln xmlns:a="http://schemas.openxmlformats.org/drawingml/2006/main">
              <a:noFill/>
              <a:prstDash val="solid"/>
            </a:ln>
          </spPr>
          <cat>
            <numRef>
              <f>'Données'!$A$114:$A$125</f>
            </numRef>
          </cat>
          <val>
            <numRef>
              <f>'Données'!$D$114:$D$125</f>
            </numRef>
          </val>
        </ser>
        <gapWidth val="45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5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Gagnants / Perdants</a:t>
            </a:r>
          </a:p>
        </rich>
      </tx>
      <overlay val="0"/>
    </title>
    <plotArea>
      <doughnutChart>
        <varyColors val="1"/>
        <ser>
          <idx val="0"/>
          <order val="0"/>
          <tx>
            <v>Gagnants / Perdants</v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0B981"/>
              </a:solidFill>
              <a:ln xmlns:a="http://schemas.openxmlformats.org/drawingml/2006/main" w="1905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EF4444"/>
              </a:solidFill>
              <a:ln xmlns:a="http://schemas.openxmlformats.org/drawingml/2006/main" w="1905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94A3B8"/>
              </a:solidFill>
              <a:ln xmlns:a="http://schemas.openxmlformats.org/drawingml/2006/main" w="19050">
                <a:solidFill>
                  <a:srgbClr val="FFFFFF"/>
                </a:solidFill>
                <a:prstDash val="solid"/>
              </a:ln>
            </spPr>
          </dPt>
          <cat>
            <numRef>
              <f>'Données'!$U$6:$U$8</f>
            </numRef>
          </cat>
          <val>
            <numRef>
              <f>'Données'!$V$6:$V$8</f>
            </numRef>
          </val>
        </ser>
        <dLbls>
          <txPr>
            <a:bodyPr xmlns:a="http://schemas.openxmlformats.org/drawingml/2006/main"/>
            <a:p xmlns:a="http://schemas.openxmlformats.org/drawingml/2006/main">
              <a:pPr>
                <a:defRPr sz="900" b="1">
                  <a:solidFill>
                    <a:srgbClr val="FFFFFF"/>
                  </a:solidFill>
                  <a:latin typeface="Arial"/>
                </a:defRPr>
              </a:pPr>
              <a:r>
                <a:t/>
              </a:r>
              <a:endParaRPr sz="900" b="1">
                <a:solidFill>
                  <a:srgbClr val="FFFFFF"/>
                </a:solidFill>
                <a:latin typeface="Arial"/>
              </a:endParaRPr>
            </a:p>
          </txPr>
          <showVal val="1"/>
          <showCatName val="0"/>
          <showSerName val="0"/>
          <showPercent val="0"/>
          <showLeaderLines val="0"/>
        </dLbls>
        <firstSliceAng val="0"/>
        <holeSize val="62"/>
      </doughnutChart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334155"/>
              </a:solidFill>
              <a:latin typeface="Arial"/>
            </a:defRPr>
          </a:pPr>
          <a:r>
            <a:t/>
          </a:r>
          <a:endParaRPr sz="800" b="0">
            <a:solidFill>
              <a:srgbClr val="334155"/>
            </a:solidFill>
            <a:latin typeface="Arial"/>
          </a:endParaRPr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6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Distribution des multiples R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Gains</v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noFill/>
              <a:prstDash val="solid"/>
            </a:ln>
          </spPr>
          <cat>
            <numRef>
              <f>'Données'!$A$159:$A$166</f>
            </numRef>
          </cat>
          <val>
            <numRef>
              <f>'Données'!$C$159:$C$166</f>
            </numRef>
          </val>
        </ser>
        <ser>
          <idx val="1"/>
          <order val="1"/>
          <tx>
            <v>Pertes</v>
          </tx>
          <spPr>
            <a:solidFill xmlns:a="http://schemas.openxmlformats.org/drawingml/2006/main">
              <a:srgbClr val="EF4444"/>
            </a:solidFill>
            <a:ln xmlns:a="http://schemas.openxmlformats.org/drawingml/2006/main">
              <a:noFill/>
              <a:prstDash val="solid"/>
            </a:ln>
          </spPr>
          <cat>
            <numRef>
              <f>'Données'!$A$159:$A$166</f>
            </numRef>
          </cat>
          <val>
            <numRef>
              <f>'Données'!$D$159:$D$166</f>
            </numRef>
          </val>
        </ser>
        <gapWidth val="25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7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Progression vers l'objectif</a:t>
            </a:r>
          </a:p>
        </rich>
      </tx>
      <overlay val="0"/>
    </title>
    <plotArea>
      <doughnutChart>
        <varyColors val="1"/>
        <ser>
          <idx val="0"/>
          <order val="0"/>
          <tx>
            <v>Progression vers l'objectif</v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0B981"/>
              </a:solidFill>
              <a:ln xmlns:a="http://schemas.openxmlformats.org/drawingml/2006/main" w="1905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E2E8F0"/>
              </a:solidFill>
              <a:ln xmlns:a="http://schemas.openxmlformats.org/drawingml/2006/main" w="19050">
                <a:solidFill>
                  <a:srgbClr val="FFFFFF"/>
                </a:solidFill>
                <a:prstDash val="solid"/>
              </a:ln>
            </spPr>
          </dPt>
          <cat>
            <numRef>
              <f>'Données'!$U$11:$U$12</f>
            </numRef>
          </cat>
          <val>
            <numRef>
              <f>'Données'!$V$11:$V$12</f>
            </numRef>
          </val>
        </ser>
        <dLbls>
          <txPr>
            <a:bodyPr xmlns:a="http://schemas.openxmlformats.org/drawingml/2006/main"/>
            <a:p xmlns:a="http://schemas.openxmlformats.org/drawingml/2006/main">
              <a:pPr>
                <a:defRPr sz="900" b="1">
                  <a:solidFill>
                    <a:srgbClr val="FFFFFF"/>
                  </a:solidFill>
                  <a:latin typeface="Arial"/>
                </a:defRPr>
              </a:pPr>
              <a:r>
                <a:t/>
              </a:r>
              <a:endParaRPr sz="900" b="1">
                <a:solidFill>
                  <a:srgbClr val="FFFFFF"/>
                </a:solidFill>
                <a:latin typeface="Arial"/>
              </a:endParaRPr>
            </a:p>
          </txPr>
          <showVal val="1"/>
          <showCatName val="0"/>
          <showSerName val="0"/>
          <showPercent val="0"/>
          <showLeaderLines val="0"/>
        </dLbls>
        <firstSliceAng val="0"/>
        <holeSize val="68"/>
      </doughnutChart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334155"/>
              </a:solidFill>
              <a:latin typeface="Arial"/>
            </a:defRPr>
          </a:pPr>
          <a:r>
            <a:t/>
          </a:r>
          <a:endParaRPr sz="800" b="0">
            <a:solidFill>
              <a:srgbClr val="334155"/>
            </a:solidFill>
            <a:latin typeface="Arial"/>
          </a:endParaRPr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8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P&amp;L net par setup</a:t>
            </a:r>
          </a:p>
        </rich>
      </tx>
      <overlay val="0"/>
    </title>
    <plotArea>
      <barChart>
        <barDir val="bar"/>
        <grouping val="clustered"/>
        <ser>
          <idx val="0"/>
          <order val="0"/>
          <tx>
            <v>Gains</v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noFill/>
              <a:prstDash val="solid"/>
            </a:ln>
          </spPr>
          <cat>
            <numRef>
              <f>'Données'!$A$70:$A$79</f>
            </numRef>
          </cat>
          <val>
            <numRef>
              <f>'Données'!$C$70:$C$79</f>
            </numRef>
          </val>
        </ser>
        <ser>
          <idx val="1"/>
          <order val="1"/>
          <tx>
            <v>Pertes</v>
          </tx>
          <spPr>
            <a:solidFill xmlns:a="http://schemas.openxmlformats.org/drawingml/2006/main">
              <a:srgbClr val="EF4444"/>
            </a:solidFill>
            <a:ln xmlns:a="http://schemas.openxmlformats.org/drawingml/2006/main">
              <a:noFill/>
              <a:prstDash val="solid"/>
            </a:ln>
          </spPr>
          <cat>
            <numRef>
              <f>'Données'!$A$70:$A$79</f>
            </numRef>
          </cat>
          <val>
            <numRef>
              <f>'Données'!$D$70:$D$79</f>
            </numRef>
          </val>
        </ser>
        <gapWidth val="45"/>
        <overlap val="10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  <crosses val="max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9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P&amp;L net par jour d'entrée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Gains</v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noFill/>
              <a:prstDash val="solid"/>
            </a:ln>
          </spPr>
          <cat>
            <numRef>
              <f>'Données'!$A$105:$A$111</f>
            </numRef>
          </cat>
          <val>
            <numRef>
              <f>'Données'!$C$105:$C$111</f>
            </numRef>
          </val>
        </ser>
        <ser>
          <idx val="1"/>
          <order val="1"/>
          <tx>
            <v>Pertes</v>
          </tx>
          <spPr>
            <a:solidFill xmlns:a="http://schemas.openxmlformats.org/drawingml/2006/main">
              <a:srgbClr val="EF4444"/>
            </a:solidFill>
            <a:ln xmlns:a="http://schemas.openxmlformats.org/drawingml/2006/main">
              <a:noFill/>
              <a:prstDash val="solid"/>
            </a:ln>
          </spPr>
          <cat>
            <numRef>
              <f>'Données'!$A$105:$A$111</f>
            </numRef>
          </cat>
          <val>
            <numRef>
              <f>'Données'!$D$105:$D$111</f>
            </numRef>
          </val>
        </ser>
        <gapWidth val="45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10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P&amp;L net par setup</a:t>
            </a:r>
          </a:p>
        </rich>
      </tx>
      <overlay val="0"/>
    </title>
    <plotArea>
      <barChart>
        <barDir val="bar"/>
        <grouping val="clustered"/>
        <ser>
          <idx val="0"/>
          <order val="0"/>
          <tx>
            <v>Gains</v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noFill/>
              <a:prstDash val="solid"/>
            </a:ln>
          </spPr>
          <cat>
            <numRef>
              <f>'Données'!$A$70:$A$79</f>
            </numRef>
          </cat>
          <val>
            <numRef>
              <f>'Données'!$C$70:$C$79</f>
            </numRef>
          </val>
        </ser>
        <ser>
          <idx val="1"/>
          <order val="1"/>
          <tx>
            <v>Pertes</v>
          </tx>
          <spPr>
            <a:solidFill xmlns:a="http://schemas.openxmlformats.org/drawingml/2006/main">
              <a:srgbClr val="EF4444"/>
            </a:solidFill>
            <a:ln xmlns:a="http://schemas.openxmlformats.org/drawingml/2006/main">
              <a:noFill/>
              <a:prstDash val="solid"/>
            </a:ln>
          </spPr>
          <cat>
            <numRef>
              <f>'Données'!$A$70:$A$79</f>
            </numRef>
          </cat>
          <val>
            <numRef>
              <f>'Données'!$D$70:$D$79</f>
            </numRef>
          </val>
        </ser>
        <gapWidth val="45"/>
        <overlap val="10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  <crosses val="max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11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P&amp;L net par actif</a:t>
            </a:r>
          </a:p>
        </rich>
      </tx>
      <overlay val="0"/>
    </title>
    <plotArea>
      <barChart>
        <barDir val="bar"/>
        <grouping val="clustered"/>
        <ser>
          <idx val="0"/>
          <order val="0"/>
          <tx>
            <v>Gains</v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noFill/>
              <a:prstDash val="solid"/>
            </a:ln>
          </spPr>
          <cat>
            <numRef>
              <f>'Données'!$A$82:$A$93</f>
            </numRef>
          </cat>
          <val>
            <numRef>
              <f>'Données'!$C$82:$C$93</f>
            </numRef>
          </val>
        </ser>
        <ser>
          <idx val="1"/>
          <order val="1"/>
          <tx>
            <v>Pertes</v>
          </tx>
          <spPr>
            <a:solidFill xmlns:a="http://schemas.openxmlformats.org/drawingml/2006/main">
              <a:srgbClr val="EF4444"/>
            </a:solidFill>
            <a:ln xmlns:a="http://schemas.openxmlformats.org/drawingml/2006/main">
              <a:noFill/>
              <a:prstDash val="solid"/>
            </a:ln>
          </spPr>
          <cat>
            <numRef>
              <f>'Données'!$A$82:$A$93</f>
            </numRef>
          </cat>
          <val>
            <numRef>
              <f>'Données'!$D$82:$D$93</f>
            </numRef>
          </val>
        </ser>
        <gapWidth val="45"/>
        <overlap val="10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  <crosses val="max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12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P&amp;L net par timeframe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Gains</v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noFill/>
              <a:prstDash val="solid"/>
            </a:ln>
          </spPr>
          <cat>
            <numRef>
              <f>'Données'!$A$96:$A$102</f>
            </numRef>
          </cat>
          <val>
            <numRef>
              <f>'Données'!$C$96:$C$102</f>
            </numRef>
          </val>
        </ser>
        <ser>
          <idx val="1"/>
          <order val="1"/>
          <tx>
            <v>Pertes</v>
          </tx>
          <spPr>
            <a:solidFill xmlns:a="http://schemas.openxmlformats.org/drawingml/2006/main">
              <a:srgbClr val="EF4444"/>
            </a:solidFill>
            <a:ln xmlns:a="http://schemas.openxmlformats.org/drawingml/2006/main">
              <a:noFill/>
              <a:prstDash val="solid"/>
            </a:ln>
          </spPr>
          <cat>
            <numRef>
              <f>'Données'!$A$96:$A$102</f>
            </numRef>
          </cat>
          <val>
            <numRef>
              <f>'Données'!$D$96:$D$102</f>
            </numRef>
          </val>
        </ser>
        <gapWidth val="45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13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P&amp;L net par jour d'entrée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Gains</v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noFill/>
              <a:prstDash val="solid"/>
            </a:ln>
          </spPr>
          <cat>
            <numRef>
              <f>'Données'!$A$105:$A$111</f>
            </numRef>
          </cat>
          <val>
            <numRef>
              <f>'Données'!$C$105:$C$111</f>
            </numRef>
          </val>
        </ser>
        <ser>
          <idx val="1"/>
          <order val="1"/>
          <tx>
            <v>Pertes</v>
          </tx>
          <spPr>
            <a:solidFill xmlns:a="http://schemas.openxmlformats.org/drawingml/2006/main">
              <a:srgbClr val="EF4444"/>
            </a:solidFill>
            <a:ln xmlns:a="http://schemas.openxmlformats.org/drawingml/2006/main">
              <a:noFill/>
              <a:prstDash val="solid"/>
            </a:ln>
          </spPr>
          <cat>
            <numRef>
              <f>'Données'!$A$105:$A$111</f>
            </numRef>
          </cat>
          <val>
            <numRef>
              <f>'Données'!$D$105:$D$111</f>
            </numRef>
          </val>
        </ser>
        <gapWidth val="45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14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P&amp;L net par mois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Gains</v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noFill/>
              <a:prstDash val="solid"/>
            </a:ln>
          </spPr>
          <cat>
            <numRef>
              <f>'Données'!$A$114:$A$125</f>
            </numRef>
          </cat>
          <val>
            <numRef>
              <f>'Données'!$C$114:$C$125</f>
            </numRef>
          </val>
        </ser>
        <ser>
          <idx val="1"/>
          <order val="1"/>
          <tx>
            <v>Pertes</v>
          </tx>
          <spPr>
            <a:solidFill xmlns:a="http://schemas.openxmlformats.org/drawingml/2006/main">
              <a:srgbClr val="EF4444"/>
            </a:solidFill>
            <a:ln xmlns:a="http://schemas.openxmlformats.org/drawingml/2006/main">
              <a:noFill/>
              <a:prstDash val="solid"/>
            </a:ln>
          </spPr>
          <cat>
            <numRef>
              <f>'Données'!$A$114:$A$125</f>
            </numRef>
          </cat>
          <val>
            <numRef>
              <f>'Données'!$D$114:$D$125</f>
            </numRef>
          </val>
        </ser>
        <gapWidth val="45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15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R moyen selon le score de checklist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R moyen</v>
          </tx>
          <spPr>
            <a:solidFill xmlns:a="http://schemas.openxmlformats.org/drawingml/2006/main">
              <a:srgbClr val="3B82F6"/>
            </a:solidFill>
            <a:ln xmlns:a="http://schemas.openxmlformats.org/drawingml/2006/main">
              <a:noFill/>
              <a:prstDash val="solid"/>
            </a:ln>
          </spPr>
          <cat>
            <numRef>
              <f>'Analyse'!$B$130:$B$138</f>
            </numRef>
          </cat>
          <val>
            <numRef>
              <f>'Analyse'!$F$130:$F$138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0.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16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P&amp;L net par état émotionnel</a:t>
            </a:r>
          </a:p>
        </rich>
      </tx>
      <overlay val="0"/>
    </title>
    <plotArea>
      <barChart>
        <barDir val="bar"/>
        <grouping val="clustered"/>
        <ser>
          <idx val="0"/>
          <order val="0"/>
          <tx>
            <v>Gains</v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noFill/>
              <a:prstDash val="solid"/>
            </a:ln>
          </spPr>
          <cat>
            <numRef>
              <f>'Données'!$A$128:$A$135</f>
            </numRef>
          </cat>
          <val>
            <numRef>
              <f>'Données'!$C$128:$C$135</f>
            </numRef>
          </val>
        </ser>
        <ser>
          <idx val="1"/>
          <order val="1"/>
          <tx>
            <v>Pertes</v>
          </tx>
          <spPr>
            <a:solidFill xmlns:a="http://schemas.openxmlformats.org/drawingml/2006/main">
              <a:srgbClr val="EF4444"/>
            </a:solidFill>
            <a:ln xmlns:a="http://schemas.openxmlformats.org/drawingml/2006/main">
              <a:noFill/>
              <a:prstDash val="solid"/>
            </a:ln>
          </spPr>
          <cat>
            <numRef>
              <f>'Données'!$A$128:$A$135</f>
            </numRef>
          </cat>
          <val>
            <numRef>
              <f>'Données'!$D$128:$D$135</f>
            </numRef>
          </val>
        </ser>
        <gapWidth val="45"/>
        <overlap val="10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  <crosses val="max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17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Coût / gain par erreur principale</a:t>
            </a:r>
          </a:p>
        </rich>
      </tx>
      <overlay val="0"/>
    </title>
    <plotArea>
      <barChart>
        <barDir val="bar"/>
        <grouping val="clustered"/>
        <ser>
          <idx val="0"/>
          <order val="0"/>
          <tx>
            <v>Gains</v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noFill/>
              <a:prstDash val="solid"/>
            </a:ln>
          </spPr>
          <cat>
            <numRef>
              <f>'Données'!$A$138:$A$149</f>
            </numRef>
          </cat>
          <val>
            <numRef>
              <f>'Données'!$C$138:$C$149</f>
            </numRef>
          </val>
        </ser>
        <ser>
          <idx val="1"/>
          <order val="1"/>
          <tx>
            <v>Pertes</v>
          </tx>
          <spPr>
            <a:solidFill xmlns:a="http://schemas.openxmlformats.org/drawingml/2006/main">
              <a:srgbClr val="EF4444"/>
            </a:solidFill>
            <a:ln xmlns:a="http://schemas.openxmlformats.org/drawingml/2006/main">
              <a:noFill/>
              <a:prstDash val="solid"/>
            </a:ln>
          </spPr>
          <cat>
            <numRef>
              <f>'Données'!$A$138:$A$149</f>
            </numRef>
          </cat>
          <val>
            <numRef>
              <f>'Données'!$D$138:$D$149</f>
            </numRef>
          </val>
        </ser>
        <gapWidth val="45"/>
        <overlap val="10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  <crosses val="max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18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P&amp;L net par durée de trade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Gains</v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noFill/>
              <a:prstDash val="solid"/>
            </a:ln>
          </spPr>
          <cat>
            <numRef>
              <f>'Données'!$A$152:$A$156</f>
            </numRef>
          </cat>
          <val>
            <numRef>
              <f>'Données'!$C$152:$C$156</f>
            </numRef>
          </val>
        </ser>
        <ser>
          <idx val="1"/>
          <order val="1"/>
          <tx>
            <v>Pertes</v>
          </tx>
          <spPr>
            <a:solidFill xmlns:a="http://schemas.openxmlformats.org/drawingml/2006/main">
              <a:srgbClr val="EF4444"/>
            </a:solidFill>
            <a:ln xmlns:a="http://schemas.openxmlformats.org/drawingml/2006/main">
              <a:noFill/>
              <a:prstDash val="solid"/>
            </a:ln>
          </spPr>
          <cat>
            <numRef>
              <f>'Données'!$A$152:$A$156</f>
            </numRef>
          </cat>
          <val>
            <numRef>
              <f>'Données'!$D$152:$D$156</f>
            </numRef>
          </val>
        </ser>
        <gapWidth val="45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19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Distribution des multiples R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Gains</v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noFill/>
              <a:prstDash val="solid"/>
            </a:ln>
          </spPr>
          <cat>
            <numRef>
              <f>'Données'!$A$159:$A$166</f>
            </numRef>
          </cat>
          <val>
            <numRef>
              <f>'Données'!$C$159:$C$166</f>
            </numRef>
          </val>
        </ser>
        <ser>
          <idx val="1"/>
          <order val="1"/>
          <tx>
            <v>Pertes</v>
          </tx>
          <spPr>
            <a:solidFill xmlns:a="http://schemas.openxmlformats.org/drawingml/2006/main">
              <a:srgbClr val="EF4444"/>
            </a:solidFill>
            <a:ln xmlns:a="http://schemas.openxmlformats.org/drawingml/2006/main">
              <a:noFill/>
              <a:prstDash val="solid"/>
            </a:ln>
          </spPr>
          <cat>
            <numRef>
              <f>'Données'!$A$159:$A$166</f>
            </numRef>
          </cat>
          <val>
            <numRef>
              <f>'Données'!$D$159:$D$166</f>
            </numRef>
          </val>
        </ser>
        <gapWidth val="25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20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Projection du capital (mois)</a:t>
            </a:r>
          </a:p>
        </rich>
      </tx>
      <overlay val="0"/>
    </title>
    <plotArea>
      <lineChart>
        <grouping val="standard"/>
        <ser>
          <idx val="0"/>
          <order val="0"/>
          <tx>
            <v>Capital projeté</v>
          </tx>
          <spPr>
            <a:ln xmlns:a="http://schemas.openxmlformats.org/drawingml/2006/main" w="28575">
              <a:solidFill>
                <a:srgbClr val="10B981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'Objectifs'!$B$26:$B$61</f>
            </numRef>
          </cat>
          <val>
            <numRef>
              <f>'Objectifs'!$G$26:$G$61</f>
            </numRef>
          </val>
          <smooth val="0"/>
        </ser>
        <ser>
          <idx val="1"/>
          <order val="1"/>
          <tx>
            <v>Objectif</v>
          </tx>
          <spPr>
            <a:ln xmlns:a="http://schemas.openxmlformats.org/drawingml/2006/main" w="19050">
              <a:solidFill>
                <a:srgbClr val="F59E0B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'Objectifs'!$B$26:$B$61</f>
            </numRef>
          </cat>
          <val>
            <numRef>
              <f>'Objectifs'!$H$26:$H$61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  <tickLblSkip val="5"/>
        <tickMarkSkip val="5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334155"/>
              </a:solidFill>
              <a:latin typeface="Arial"/>
            </a:defRPr>
          </a:pPr>
          <a:r>
            <a:t/>
          </a:r>
          <a:endParaRPr sz="800" b="0">
            <a:solidFill>
              <a:srgbClr val="334155"/>
            </a:solidFill>
            <a:latin typeface="Arial"/>
          </a:endParaRPr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21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P&amp;L réel vs P&amp;L visé (12 premiers mois)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P&amp;L réel</v>
          </tx>
          <spPr>
            <a:solidFill xmlns:a="http://schemas.openxmlformats.org/drawingml/2006/main">
              <a:srgbClr val="3B82F6"/>
            </a:solidFill>
            <a:ln xmlns:a="http://schemas.openxmlformats.org/drawingml/2006/main">
              <a:noFill/>
              <a:prstDash val="solid"/>
            </a:ln>
          </spPr>
          <cat>
            <numRef>
              <f>'Objectifs'!$B$26:$B$37</f>
            </numRef>
          </cat>
          <val>
            <numRef>
              <f>'Objectifs'!$I$26:$I$37</f>
            </numRef>
          </val>
        </ser>
        <ser>
          <idx val="1"/>
          <order val="1"/>
          <tx>
            <v>P&amp;L visé</v>
          </tx>
          <spPr>
            <a:solidFill xmlns:a="http://schemas.openxmlformats.org/drawingml/2006/main">
              <a:srgbClr val="CBD5E1"/>
            </a:solidFill>
            <a:ln xmlns:a="http://schemas.openxmlformats.org/drawingml/2006/main">
              <a:noFill/>
              <a:prstDash val="solid"/>
            </a:ln>
          </spPr>
          <cat>
            <numRef>
              <f>'Objectifs'!$B$26:$B$37</f>
            </numRef>
          </cat>
          <val>
            <numRef>
              <f>'Objectifs'!$J$26:$J$37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334155"/>
              </a:solidFill>
              <a:latin typeface="Arial"/>
            </a:defRPr>
          </a:pPr>
          <a:r>
            <a:t/>
          </a:r>
          <a:endParaRPr sz="800" b="0">
            <a:solidFill>
              <a:srgbClr val="334155"/>
            </a:solidFill>
            <a:latin typeface="Arial"/>
          </a:endParaRPr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22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Gain nécessaire pour compenser une perte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Gain requis</v>
          </tx>
          <spPr>
            <a:solidFill xmlns:a="http://schemas.openxmlformats.org/drawingml/2006/main">
              <a:srgbClr val="EF4444"/>
            </a:solidFill>
            <a:ln xmlns:a="http://schemas.openxmlformats.org/drawingml/2006/main">
              <a:noFill/>
              <a:prstDash val="solid"/>
            </a:ln>
          </spPr>
          <cat>
            <numRef>
              <f>'Risque'!$B$20:$B$31</f>
            </numRef>
          </cat>
          <val>
            <numRef>
              <f>'Risque'!$C$20:$C$31</f>
            </numRef>
          </val>
        </ser>
        <gapWidth val="4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0%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23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Capital restant selon le risque par trade</a:t>
            </a:r>
          </a:p>
        </rich>
      </tx>
      <overlay val="0"/>
    </title>
    <plotArea>
      <lineChart>
        <grouping val="standard"/>
        <ser>
          <idx val="0"/>
          <order val="0"/>
          <tx>
            <v>Risque 0.5 %</v>
          </tx>
          <spPr>
            <a:ln xmlns:a="http://schemas.openxmlformats.org/drawingml/2006/main" w="22225">
              <a:solidFill>
                <a:srgbClr val="10B981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'Risque'!$B$36:$B$56</f>
            </numRef>
          </cat>
          <val>
            <numRef>
              <f>'Risque'!$C$36:$C$56</f>
            </numRef>
          </val>
          <smooth val="0"/>
        </ser>
        <ser>
          <idx val="1"/>
          <order val="1"/>
          <tx>
            <v>Risque 1 %</v>
          </tx>
          <spPr>
            <a:ln xmlns:a="http://schemas.openxmlformats.org/drawingml/2006/main" w="22225">
              <a:solidFill>
                <a:srgbClr val="3B82F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'Risque'!$B$36:$B$56</f>
            </numRef>
          </cat>
          <val>
            <numRef>
              <f>'Risque'!$D$36:$D$56</f>
            </numRef>
          </val>
          <smooth val="0"/>
        </ser>
        <ser>
          <idx val="2"/>
          <order val="2"/>
          <tx>
            <v>Risque 2 %</v>
          </tx>
          <spPr>
            <a:ln xmlns:a="http://schemas.openxmlformats.org/drawingml/2006/main" w="22225">
              <a:solidFill>
                <a:srgbClr val="F59E0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'Risque'!$B$36:$B$56</f>
            </numRef>
          </cat>
          <val>
            <numRef>
              <f>'Risque'!$E$36:$E$56</f>
            </numRef>
          </val>
          <smooth val="0"/>
        </ser>
        <ser>
          <idx val="3"/>
          <order val="3"/>
          <tx>
            <v>Risque 3 %</v>
          </tx>
          <spPr>
            <a:ln xmlns:a="http://schemas.openxmlformats.org/drawingml/2006/main" w="22225">
              <a:solidFill>
                <a:srgbClr val="8B5CF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'Risque'!$B$36:$B$56</f>
            </numRef>
          </cat>
          <val>
            <numRef>
              <f>'Risque'!$F$36:$F$56</f>
            </numRef>
          </val>
          <smooth val="0"/>
        </ser>
        <ser>
          <idx val="4"/>
          <order val="4"/>
          <tx>
            <v>Risque 5 %</v>
          </tx>
          <spPr>
            <a:ln xmlns:a="http://schemas.openxmlformats.org/drawingml/2006/main" w="22225">
              <a:solidFill>
                <a:srgbClr val="EF444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'Risque'!$B$36:$B$56</f>
            </numRef>
          </cat>
          <val>
            <numRef>
              <f>'Risque'!$G$36:$G$56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  <tickLblSkip val="2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0%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334155"/>
              </a:solidFill>
              <a:latin typeface="Arial"/>
            </a:defRPr>
          </a:pPr>
          <a:r>
            <a:t/>
          </a:r>
          <a:endParaRPr sz="800" b="0">
            <a:solidFill>
              <a:srgbClr val="334155"/>
            </a:solidFill>
            <a:latin typeface="Arial"/>
          </a:endParaRPr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24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Humeur et discipline (30 derniers check-ins)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Humeur</v>
          </tx>
          <spPr>
            <a:solidFill xmlns:a="http://schemas.openxmlformats.org/drawingml/2006/main">
              <a:srgbClr val="8B5CF6"/>
            </a:solidFill>
            <a:ln xmlns:a="http://schemas.openxmlformats.org/drawingml/2006/main">
              <a:noFill/>
              <a:prstDash val="solid"/>
            </a:ln>
          </spPr>
          <cat>
            <numRef>
              <f>'Données'!$P$6:$P$35</f>
            </numRef>
          </cat>
          <val>
            <numRef>
              <f>'Données'!$Q$6:$Q$35</f>
            </numRef>
          </val>
        </ser>
        <ser>
          <idx val="1"/>
          <order val="1"/>
          <tx>
            <v>Discipline</v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noFill/>
              <a:prstDash val="solid"/>
            </a:ln>
          </spPr>
          <cat>
            <numRef>
              <f>'Données'!$P$6:$P$35</f>
            </numRef>
          </cat>
          <val>
            <numRef>
              <f>'Données'!$R$6:$R$35</f>
            </numRef>
          </val>
        </ser>
        <gapWidth val="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  <max val="5"/>
          <min val="0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334155"/>
              </a:solidFill>
              <a:latin typeface="Arial"/>
            </a:defRPr>
          </a:pPr>
          <a:r>
            <a:t/>
          </a:r>
          <a:endParaRPr sz="800" b="0">
            <a:solidFill>
              <a:srgbClr val="334155"/>
            </a:solidFill>
            <a:latin typeface="Arial"/>
          </a:endParaRPr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0.xml" Id="rId1"/><Relationship Type="http://schemas.openxmlformats.org/officeDocument/2006/relationships/chart" Target="/xl/charts/chart11.xml" Id="rId2"/><Relationship Type="http://schemas.openxmlformats.org/officeDocument/2006/relationships/chart" Target="/xl/charts/chart12.xml" Id="rId3"/><Relationship Type="http://schemas.openxmlformats.org/officeDocument/2006/relationships/chart" Target="/xl/charts/chart13.xml" Id="rId4"/><Relationship Type="http://schemas.openxmlformats.org/officeDocument/2006/relationships/chart" Target="/xl/charts/chart14.xml" Id="rId5"/><Relationship Type="http://schemas.openxmlformats.org/officeDocument/2006/relationships/chart" Target="/xl/charts/chart15.xml" Id="rId6"/><Relationship Type="http://schemas.openxmlformats.org/officeDocument/2006/relationships/chart" Target="/xl/charts/chart16.xml" Id="rId7"/><Relationship Type="http://schemas.openxmlformats.org/officeDocument/2006/relationships/chart" Target="/xl/charts/chart17.xml" Id="rId8"/><Relationship Type="http://schemas.openxmlformats.org/officeDocument/2006/relationships/chart" Target="/xl/charts/chart18.xml" Id="rId9"/><Relationship Type="http://schemas.openxmlformats.org/officeDocument/2006/relationships/chart" Target="/xl/charts/chart19.xml" Id="rId10"/></Relationships>
</file>

<file path=xl/drawings/_rels/drawing3.xml.rels><Relationships xmlns="http://schemas.openxmlformats.org/package/2006/relationships"><Relationship Type="http://schemas.openxmlformats.org/officeDocument/2006/relationships/chart" Target="/xl/charts/chart20.xml" Id="rId1"/><Relationship Type="http://schemas.openxmlformats.org/officeDocument/2006/relationships/chart" Target="/xl/charts/chart21.xml" Id="rId2"/></Relationships>
</file>

<file path=xl/drawings/_rels/drawing4.xml.rels><Relationships xmlns="http://schemas.openxmlformats.org/package/2006/relationships"><Relationship Type="http://schemas.openxmlformats.org/officeDocument/2006/relationships/chart" Target="/xl/charts/chart22.xml" Id="rId1"/><Relationship Type="http://schemas.openxmlformats.org/officeDocument/2006/relationships/chart" Target="/xl/charts/chart23.xml" Id="rId2"/></Relationships>
</file>

<file path=xl/drawings/_rels/drawing5.xml.rels><Relationships xmlns="http://schemas.openxmlformats.org/package/2006/relationships"><Relationship Type="http://schemas.openxmlformats.org/officeDocument/2006/relationships/chart" Target="/xl/charts/chart24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32</row>
      <rowOff>0</rowOff>
    </from>
    <ext cx="5256000" cy="280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32</row>
      <rowOff>0</rowOff>
    </from>
    <ext cx="5256000" cy="2808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48</row>
      <rowOff>0</rowOff>
    </from>
    <ext cx="5256000" cy="2808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7</col>
      <colOff>0</colOff>
      <row>48</row>
      <rowOff>0</rowOff>
    </from>
    <ext cx="5256000" cy="2808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1</col>
      <colOff>0</colOff>
      <row>65</row>
      <rowOff>0</rowOff>
    </from>
    <ext cx="3491999" cy="2808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5</col>
      <colOff>0</colOff>
      <row>65</row>
      <rowOff>0</rowOff>
    </from>
    <ext cx="3491999" cy="2808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9</col>
      <colOff>0</colOff>
      <row>65</row>
      <rowOff>0</rowOff>
    </from>
    <ext cx="3491999" cy="2808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1</col>
      <colOff>0</colOff>
      <row>82</row>
      <rowOff>0</rowOff>
    </from>
    <ext cx="5256000" cy="2808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7</col>
      <colOff>0</colOff>
      <row>82</row>
      <rowOff>0</rowOff>
    </from>
    <ext cx="5256000" cy="2808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9</col>
      <colOff>0</colOff>
      <row>46</row>
      <rowOff>0</rowOff>
    </from>
    <ext cx="6192000" cy="273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62</row>
      <rowOff>0</rowOff>
    </from>
    <ext cx="6192000" cy="2736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78</row>
      <rowOff>0</rowOff>
    </from>
    <ext cx="6192000" cy="2736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95</row>
      <rowOff>0</rowOff>
    </from>
    <ext cx="6192000" cy="2736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9</col>
      <colOff>0</colOff>
      <row>111</row>
      <rowOff>0</rowOff>
    </from>
    <ext cx="6192000" cy="2736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9</col>
      <colOff>0</colOff>
      <row>127</row>
      <rowOff>0</rowOff>
    </from>
    <ext cx="6192000" cy="2736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9</col>
      <colOff>0</colOff>
      <row>143</row>
      <rowOff>0</rowOff>
    </from>
    <ext cx="6192000" cy="2736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9</col>
      <colOff>0</colOff>
      <row>159</row>
      <rowOff>0</rowOff>
    </from>
    <ext cx="6192000" cy="2736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9</col>
      <colOff>0</colOff>
      <row>175</row>
      <rowOff>0</rowOff>
    </from>
    <ext cx="6192000" cy="2736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9</col>
      <colOff>0</colOff>
      <row>192</row>
      <rowOff>0</rowOff>
    </from>
    <ext cx="6192000" cy="2736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11</col>
      <colOff>0</colOff>
      <row>5</row>
      <rowOff>0</rowOff>
    </from>
    <ext cx="5580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11</col>
      <colOff>0</colOff>
      <row>23</row>
      <rowOff>0</rowOff>
    </from>
    <ext cx="5580000" cy="2951999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4.xml><?xml version="1.0" encoding="utf-8"?>
<wsDr xmlns="http://schemas.openxmlformats.org/drawingml/2006/spreadsheetDrawing">
  <oneCellAnchor>
    <from>
      <col>10</col>
      <colOff>0</colOff>
      <row>17</row>
      <rowOff>0</rowOff>
    </from>
    <ext cx="5400000" cy="266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33</row>
      <rowOff>0</rowOff>
    </from>
    <ext cx="5400000" cy="2951999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5.xml><?xml version="1.0" encoding="utf-8"?>
<wsDr xmlns="http://schemas.openxmlformats.org/drawingml/2006/spreadsheetDrawing">
  <oneCellAnchor>
    <from>
      <col>8</col>
      <colOff>0</colOff>
      <row>5</row>
      <rowOff>0</rowOff>
    </from>
    <ext cx="5580000" cy="280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16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sheet1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A1:N35"/>
  <sheetViews>
    <sheetView showGridLines="0" tabSelected="1" workbookViewId="0">
      <selection activeCell="A1" sqref="A1"/>
    </sheetView>
  </sheetViews>
  <sheetFormatPr baseColWidth="8" defaultRowHeight="15"/>
  <cols>
    <col width="2" customWidth="1" min="1" max="1"/>
    <col width="12.5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  <col width="12.5" customWidth="1" min="11" max="11"/>
    <col width="12.5" customWidth="1" min="12" max="12"/>
    <col width="12.5" customWidth="1" min="13" max="13"/>
    <col width="2" customWidth="1" min="14" max="14"/>
  </cols>
  <sheetData>
    <row r="1" ht="22" customHeight="1">
      <c r="A1" s="1" t="n"/>
      <c r="B1" s="2" t="inlineStr">
        <is>
          <t>TRADING SUITE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 ht="38" customHeight="1">
      <c r="A2" s="1" t="n"/>
      <c r="B2" s="3">
        <f>'Paramètres'!$C$7</f>
        <v/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</row>
    <row r="3" ht="18" customHeight="1">
      <c r="A3" s="1" t="n"/>
      <c r="B3" s="4" t="inlineStr">
        <is>
          <t>Swing trading suite  ·  journal, analyse, plan et formation dans un seul classeur.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</row>
    <row r="6" ht="20" customHeight="1">
      <c r="B6" s="6" t="inlineStr">
        <is>
          <t>CAPITAL ACTUEL</t>
        </is>
      </c>
      <c r="C6" s="6" t="n"/>
      <c r="D6" s="6" t="n"/>
      <c r="E6" s="7" t="inlineStr">
        <is>
          <t>P&amp;L NET</t>
        </is>
      </c>
      <c r="F6" s="7" t="n"/>
      <c r="G6" s="7" t="n"/>
      <c r="H6" s="8" t="inlineStr">
        <is>
          <t>TAUX DE RÉUSSITE</t>
        </is>
      </c>
      <c r="I6" s="8" t="n"/>
      <c r="J6" s="8" t="n"/>
      <c r="K6" s="9" t="inlineStr">
        <is>
          <t>TRADES CLÔTURÉS</t>
        </is>
      </c>
      <c r="L6" s="9" t="n"/>
      <c r="M6" s="9" t="n"/>
    </row>
    <row r="7" ht="40" customHeight="1">
      <c r="B7" s="10">
        <f>'Analyse'!$C$10</f>
        <v/>
      </c>
      <c r="C7" s="10" t="n"/>
      <c r="D7" s="10" t="n"/>
      <c r="E7" s="11">
        <f>'Analyse'!$C$9</f>
        <v/>
      </c>
      <c r="F7" s="11" t="n"/>
      <c r="G7" s="11" t="n"/>
      <c r="H7" s="12">
        <f>'Analyse'!$C$16</f>
        <v/>
      </c>
      <c r="I7" s="12" t="n"/>
      <c r="J7" s="12" t="n"/>
      <c r="K7" s="13">
        <f>'Analyse'!$C$12</f>
        <v/>
      </c>
      <c r="L7" s="13" t="n"/>
      <c r="M7" s="13" t="n"/>
    </row>
    <row r="9" ht="24" customHeight="1">
      <c r="B9" s="14" t="inlineStr">
        <is>
          <t>PILOTAGE</t>
        </is>
      </c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</row>
    <row r="10" ht="24" customHeight="1">
      <c r="B10" s="16" t="inlineStr">
        <is>
          <t xml:space="preserve">  Dashboard</t>
        </is>
      </c>
      <c r="C10" s="17" t="n"/>
      <c r="D10" s="17" t="n"/>
      <c r="E10" s="17" t="n"/>
      <c r="F10" s="16" t="inlineStr">
        <is>
          <t xml:space="preserve">  Journal</t>
        </is>
      </c>
      <c r="G10" s="17" t="n"/>
      <c r="H10" s="17" t="n"/>
      <c r="I10" s="17" t="n"/>
      <c r="J10" s="16" t="inlineStr">
        <is>
          <t xml:space="preserve">  Analyse</t>
        </is>
      </c>
      <c r="K10" s="17" t="n"/>
      <c r="L10" s="17" t="n"/>
      <c r="M10" s="17" t="n"/>
    </row>
    <row r="11" ht="34" customHeight="1">
      <c r="B11" s="18" t="inlineStr">
        <is>
          <t>KPI, coach automatique, positions ouvertes et 10 graphiques dynamiques.</t>
        </is>
      </c>
      <c r="C11" s="18" t="n"/>
      <c r="D11" s="18" t="n"/>
      <c r="E11" s="18" t="n"/>
      <c r="F11" s="18" t="inlineStr">
        <is>
          <t>Enregistre chaque trade : tous les calculs sont automatiques.</t>
        </is>
      </c>
      <c r="G11" s="18" t="n"/>
      <c r="H11" s="18" t="n"/>
      <c r="I11" s="18" t="n"/>
      <c r="J11" s="18" t="inlineStr">
        <is>
          <t>Performance par setup, actif, jour, mois, émotion et erreur.</t>
        </is>
      </c>
      <c r="K11" s="18" t="n"/>
      <c r="L11" s="18" t="n"/>
      <c r="M11" s="18" t="n"/>
    </row>
    <row r="12" ht="8" customHeight="1"/>
    <row r="13" ht="24" customHeight="1">
      <c r="B13" s="16" t="inlineStr">
        <is>
          <t xml:space="preserve">  Objectifs</t>
        </is>
      </c>
      <c r="C13" s="17" t="n"/>
      <c r="D13" s="17" t="n"/>
      <c r="E13" s="17" t="n"/>
    </row>
    <row r="14" ht="34" customHeight="1">
      <c r="B14" s="18" t="inlineStr">
        <is>
          <t>Projection du capital, paliers et P&amp;L réel vs visé.</t>
        </is>
      </c>
      <c r="C14" s="18" t="n"/>
      <c r="D14" s="18" t="n"/>
      <c r="E14" s="18" t="n"/>
    </row>
    <row r="15" ht="8" customHeight="1"/>
    <row r="16" ht="24" customHeight="1">
      <c r="B16" s="19" t="inlineStr">
        <is>
          <t>PRÉPARATION</t>
        </is>
      </c>
      <c r="C16" s="20" t="n"/>
      <c r="D16" s="20" t="n"/>
      <c r="E16" s="20" t="n"/>
      <c r="F16" s="20" t="n"/>
      <c r="G16" s="20" t="n"/>
      <c r="H16" s="20" t="n"/>
      <c r="I16" s="20" t="n"/>
      <c r="J16" s="20" t="n"/>
      <c r="K16" s="20" t="n"/>
      <c r="L16" s="20" t="n"/>
      <c r="M16" s="20" t="n"/>
    </row>
    <row r="17" ht="24" customHeight="1">
      <c r="B17" s="21" t="inlineStr">
        <is>
          <t xml:space="preserve">  Plan</t>
        </is>
      </c>
      <c r="C17" s="17" t="n"/>
      <c r="D17" s="17" t="n"/>
      <c r="E17" s="17" t="n"/>
      <c r="F17" s="21" t="inlineStr">
        <is>
          <t xml:space="preserve">  Watchlist</t>
        </is>
      </c>
      <c r="G17" s="17" t="n"/>
      <c r="H17" s="17" t="n"/>
      <c r="I17" s="17" t="n"/>
      <c r="J17" s="21" t="inlineStr">
        <is>
          <t xml:space="preserve">  Calculateur</t>
        </is>
      </c>
      <c r="K17" s="17" t="n"/>
      <c r="L17" s="17" t="n"/>
      <c r="M17" s="17" t="n"/>
    </row>
    <row r="18" ht="34" customHeight="1">
      <c r="B18" s="22" t="inlineStr">
        <is>
          <t>Ton plan de trading écrit et la checklist pré-trade notée sur 8.</t>
        </is>
      </c>
      <c r="C18" s="22" t="n"/>
      <c r="D18" s="22" t="n"/>
      <c r="E18" s="22" t="n"/>
      <c r="F18" s="22" t="inlineStr">
        <is>
          <t>Les opportunités à surveiller, avec R:R calculé.</t>
        </is>
      </c>
      <c r="G18" s="22" t="n"/>
      <c r="H18" s="22" t="n"/>
      <c r="I18" s="22" t="n"/>
      <c r="J18" s="22" t="inlineStr">
        <is>
          <t>Taille de position, stop ATR, cibles multiples, Fibonacci.</t>
        </is>
      </c>
      <c r="K18" s="22" t="n"/>
      <c r="L18" s="22" t="n"/>
      <c r="M18" s="22" t="n"/>
    </row>
    <row r="19" ht="8" customHeight="1"/>
    <row r="20" ht="24" customHeight="1">
      <c r="B20" s="23" t="inlineStr">
        <is>
          <t>FORMATION</t>
        </is>
      </c>
      <c r="C20" s="24" t="n"/>
      <c r="D20" s="24" t="n"/>
      <c r="E20" s="24" t="n"/>
      <c r="F20" s="24" t="n"/>
      <c r="G20" s="24" t="n"/>
      <c r="H20" s="24" t="n"/>
      <c r="I20" s="24" t="n"/>
      <c r="J20" s="24" t="n"/>
      <c r="K20" s="24" t="n"/>
      <c r="L20" s="24" t="n"/>
      <c r="M20" s="24" t="n"/>
    </row>
    <row r="21" ht="24" customHeight="1">
      <c r="B21" s="25" t="inlineStr">
        <is>
          <t xml:space="preserve">  Risque</t>
        </is>
      </c>
      <c r="C21" s="17" t="n"/>
      <c r="D21" s="17" t="n"/>
      <c r="E21" s="17" t="n"/>
      <c r="F21" s="25" t="inlineStr">
        <is>
          <t xml:space="preserve">  Stratégies</t>
        </is>
      </c>
      <c r="G21" s="17" t="n"/>
      <c r="H21" s="17" t="n"/>
      <c r="I21" s="17" t="n"/>
      <c r="J21" s="25" t="inlineStr">
        <is>
          <t xml:space="preserve">  Indicateurs</t>
        </is>
      </c>
      <c r="K21" s="17" t="n"/>
      <c r="L21" s="17" t="n"/>
      <c r="M21" s="17" t="n"/>
    </row>
    <row r="22" ht="34" customHeight="1">
      <c r="B22" s="26" t="inlineStr">
        <is>
          <t>Règles d'or, tableaux de récupération et d'espérance.</t>
        </is>
      </c>
      <c r="C22" s="26" t="n"/>
      <c r="D22" s="26" t="n"/>
      <c r="E22" s="26" t="n"/>
      <c r="F22" s="26" t="inlineStr">
        <is>
          <t>10 setups swing : conditions, entrée, stop et objectif.</t>
        </is>
      </c>
      <c r="G22" s="26" t="n"/>
      <c r="H22" s="26" t="n"/>
      <c r="I22" s="26" t="n"/>
      <c r="J22" s="26" t="inlineStr">
        <is>
          <t>Comment lire MM, RSI, MACD, ATR, volume et plus.</t>
        </is>
      </c>
      <c r="K22" s="26" t="n"/>
      <c r="L22" s="26" t="n"/>
      <c r="M22" s="26" t="n"/>
    </row>
    <row r="23" ht="8" customHeight="1"/>
    <row r="24" ht="24" customHeight="1">
      <c r="B24" s="25" t="inlineStr">
        <is>
          <t xml:space="preserve">  Chandeliers</t>
        </is>
      </c>
      <c r="C24" s="17" t="n"/>
      <c r="D24" s="17" t="n"/>
      <c r="E24" s="17" t="n"/>
      <c r="F24" s="25" t="inlineStr">
        <is>
          <t xml:space="preserve">  Psychologie</t>
        </is>
      </c>
      <c r="G24" s="17" t="n"/>
      <c r="H24" s="17" t="n"/>
      <c r="I24" s="17" t="n"/>
      <c r="J24" s="25" t="inlineStr">
        <is>
          <t xml:space="preserve">  Check-in</t>
        </is>
      </c>
      <c r="K24" s="17" t="n"/>
      <c r="L24" s="17" t="n"/>
      <c r="M24" s="17" t="n"/>
    </row>
    <row r="25" ht="34" customHeight="1">
      <c r="B25" s="26" t="inlineStr">
        <is>
          <t>Les figures clés et leur confirmation.</t>
        </is>
      </c>
      <c r="C25" s="26" t="n"/>
      <c r="D25" s="26" t="n"/>
      <c r="E25" s="26" t="n"/>
      <c r="F25" s="26" t="inlineStr">
        <is>
          <t>Biais, antidotes et hygiène mentale.</t>
        </is>
      </c>
      <c r="G25" s="26" t="n"/>
      <c r="H25" s="26" t="n"/>
      <c r="I25" s="26" t="n"/>
      <c r="J25" s="26" t="inlineStr">
        <is>
          <t>Journal quotidien d'humeur et de discipline.</t>
        </is>
      </c>
      <c r="K25" s="26" t="n"/>
      <c r="L25" s="26" t="n"/>
      <c r="M25" s="26" t="n"/>
    </row>
    <row r="26" ht="8" customHeight="1"/>
    <row r="27" ht="24" customHeight="1">
      <c r="B27" s="25" t="inlineStr">
        <is>
          <t xml:space="preserve">  Erreurs</t>
        </is>
      </c>
      <c r="C27" s="17" t="n"/>
      <c r="D27" s="17" t="n"/>
      <c r="E27" s="17" t="n"/>
      <c r="F27" s="25" t="inlineStr">
        <is>
          <t xml:space="preserve">  Routine</t>
        </is>
      </c>
      <c r="G27" s="17" t="n"/>
      <c r="H27" s="17" t="n"/>
      <c r="I27" s="17" t="n"/>
      <c r="J27" s="25" t="inlineStr">
        <is>
          <t xml:space="preserve">  Glossaire</t>
        </is>
      </c>
      <c r="K27" s="17" t="n"/>
      <c r="L27" s="17" t="n"/>
      <c r="M27" s="17" t="n"/>
    </row>
    <row r="28" ht="34" customHeight="1">
      <c r="B28" s="26" t="inlineStr">
        <is>
          <t>Les 20 erreurs qui détruisent les comptes.</t>
        </is>
      </c>
      <c r="C28" s="26" t="n"/>
      <c r="D28" s="26" t="n"/>
      <c r="E28" s="26" t="n"/>
      <c r="F28" s="26" t="inlineStr">
        <is>
          <t>Checklists quotidienne, hebdomadaire et mensuelle.</t>
        </is>
      </c>
      <c r="G28" s="26" t="n"/>
      <c r="H28" s="26" t="n"/>
      <c r="I28" s="26" t="n"/>
      <c r="J28" s="26" t="inlineStr">
        <is>
          <t>70 termes essentiels expliqués.</t>
        </is>
      </c>
      <c r="K28" s="26" t="n"/>
      <c r="L28" s="26" t="n"/>
      <c r="M28" s="26" t="n"/>
    </row>
    <row r="29" ht="8" customHeight="1"/>
    <row r="30" ht="24" customHeight="1">
      <c r="B30" s="27" t="inlineStr">
        <is>
          <t>CONFIGURATION</t>
        </is>
      </c>
      <c r="C30" s="28" t="n"/>
      <c r="D30" s="28" t="n"/>
      <c r="E30" s="28" t="n"/>
      <c r="F30" s="28" t="n"/>
      <c r="G30" s="28" t="n"/>
      <c r="H30" s="28" t="n"/>
      <c r="I30" s="28" t="n"/>
      <c r="J30" s="28" t="n"/>
      <c r="K30" s="28" t="n"/>
      <c r="L30" s="28" t="n"/>
      <c r="M30" s="28" t="n"/>
    </row>
    <row r="31" ht="24" customHeight="1">
      <c r="B31" s="29" t="inlineStr">
        <is>
          <t xml:space="preserve">  Démarrage</t>
        </is>
      </c>
      <c r="C31" s="17" t="n"/>
      <c r="D31" s="17" t="n"/>
      <c r="E31" s="17" t="n"/>
      <c r="F31" s="29" t="inlineStr">
        <is>
          <t xml:space="preserve">  Paramètres</t>
        </is>
      </c>
      <c r="G31" s="17" t="n"/>
      <c r="H31" s="17" t="n"/>
      <c r="I31" s="17" t="n"/>
      <c r="J31" s="29" t="inlineStr">
        <is>
          <t xml:space="preserve">  Listes</t>
        </is>
      </c>
      <c r="K31" s="17" t="n"/>
      <c r="L31" s="17" t="n"/>
      <c r="M31" s="17" t="n"/>
    </row>
    <row r="32" ht="34" customHeight="1">
      <c r="B32" s="30" t="inlineStr">
        <is>
          <t>Le guide en 10 étapes et les repères d'interprétation.</t>
        </is>
      </c>
      <c r="C32" s="30" t="n"/>
      <c r="D32" s="30" t="n"/>
      <c r="E32" s="30" t="n"/>
      <c r="F32" s="30" t="inlineStr">
        <is>
          <t>Capital, objectifs et règles de risque.</t>
        </is>
      </c>
      <c r="G32" s="30" t="n"/>
      <c r="H32" s="30" t="n"/>
      <c r="I32" s="30" t="n"/>
      <c r="J32" s="30" t="inlineStr">
        <is>
          <t>Personnalise setups, actifs, émotions et erreurs.</t>
        </is>
      </c>
      <c r="K32" s="30" t="n"/>
      <c r="L32" s="30" t="n"/>
      <c r="M32" s="30" t="n"/>
    </row>
    <row r="33" ht="8" customHeight="1"/>
    <row r="35" ht="28" customHeight="1">
      <c r="B35" s="31" t="inlineStr">
        <is>
          <t>Ce classeur est un outil de suivi, de calcul et d'éducation. Il ne constitue pas un conseil en investissement. Le trading comporte un risque de perte en capital ; les performances passées ne préjugent pas des performances futures.</t>
        </is>
      </c>
      <c r="C35" s="31" t="n"/>
      <c r="D35" s="31" t="n"/>
      <c r="E35" s="31" t="n"/>
      <c r="F35" s="31" t="n"/>
      <c r="G35" s="31" t="n"/>
      <c r="H35" s="31" t="n"/>
      <c r="I35" s="31" t="n"/>
      <c r="J35" s="31" t="n"/>
      <c r="K35" s="31" t="n"/>
      <c r="L35" s="31" t="n"/>
      <c r="M35" s="31" t="n"/>
    </row>
  </sheetData>
  <mergeCells count="51">
    <mergeCell ref="F31:I31"/>
    <mergeCell ref="J22:M22"/>
    <mergeCell ref="F27:I27"/>
    <mergeCell ref="J31:M31"/>
    <mergeCell ref="B28:E28"/>
    <mergeCell ref="J21:M21"/>
    <mergeCell ref="B24:E24"/>
    <mergeCell ref="J18:M18"/>
    <mergeCell ref="H7:J7"/>
    <mergeCell ref="E6:G6"/>
    <mergeCell ref="B32:E32"/>
    <mergeCell ref="J17:M17"/>
    <mergeCell ref="F11:I11"/>
    <mergeCell ref="B25:E25"/>
    <mergeCell ref="B9:M9"/>
    <mergeCell ref="F25:I25"/>
    <mergeCell ref="B30:M30"/>
    <mergeCell ref="E7:G7"/>
    <mergeCell ref="F10:I10"/>
    <mergeCell ref="B6:D6"/>
    <mergeCell ref="K7:M7"/>
    <mergeCell ref="B22:E22"/>
    <mergeCell ref="J10:M10"/>
    <mergeCell ref="J28:M28"/>
    <mergeCell ref="B31:E31"/>
    <mergeCell ref="B18:E18"/>
    <mergeCell ref="B27:E27"/>
    <mergeCell ref="F28:I28"/>
    <mergeCell ref="K6:M6"/>
    <mergeCell ref="B20:M20"/>
    <mergeCell ref="B21:E21"/>
    <mergeCell ref="F24:I24"/>
    <mergeCell ref="B11:E11"/>
    <mergeCell ref="F21:I21"/>
    <mergeCell ref="J24:M24"/>
    <mergeCell ref="B7:D7"/>
    <mergeCell ref="B35:M35"/>
    <mergeCell ref="B14:E14"/>
    <mergeCell ref="J27:M27"/>
    <mergeCell ref="F18:I18"/>
    <mergeCell ref="B16:M16"/>
    <mergeCell ref="B17:E17"/>
    <mergeCell ref="F32:I32"/>
    <mergeCell ref="F17:I17"/>
    <mergeCell ref="B13:E13"/>
    <mergeCell ref="J11:M11"/>
    <mergeCell ref="F22:I22"/>
    <mergeCell ref="J32:M32"/>
    <mergeCell ref="B10:E10"/>
    <mergeCell ref="J25:M25"/>
    <mergeCell ref="H6:J6"/>
  </mergeCells>
  <hyperlinks>
    <hyperlink ref="B10" location="'Dashboard'!A1" display="Dashboard"/>
    <hyperlink ref="F10" location="'Journal'!A1" display="Journal"/>
    <hyperlink ref="J10" location="'Analyse'!A1" display="Analyse"/>
    <hyperlink ref="B13" location="'Objectifs'!A1" display="Objectifs"/>
    <hyperlink ref="B17" location="'Plan'!A1" display="Plan"/>
    <hyperlink ref="F17" location="'Watchlist'!A1" display="Watchlist"/>
    <hyperlink ref="J17" location="'Calculateur'!A1" display="Calculateur"/>
    <hyperlink ref="B21" location="'Risque'!A1" display="Risque"/>
    <hyperlink ref="F21" location="'Stratégies'!A1" display="Stratégies"/>
    <hyperlink ref="J21" location="'Indicateurs'!A1" display="Indicateurs"/>
    <hyperlink ref="B24" location="'Chandeliers'!A1" display="Chandeliers"/>
    <hyperlink ref="F24" location="'Psychologie'!A1" display="Psychologie"/>
    <hyperlink ref="J24" location="'Check-in'!A1" display="Check-in"/>
    <hyperlink ref="B27" location="'Erreurs'!A1" display="Erreurs"/>
    <hyperlink ref="F27" location="'Routine'!A1" display="Routine"/>
    <hyperlink ref="J27" location="'Glossaire'!A1" display="Glossaire"/>
    <hyperlink ref="B31" location="'Démarrage'!A1" display="Démarrage"/>
    <hyperlink ref="F31" location="'Paramètres'!A1" display="Paramètres"/>
    <hyperlink ref="J31" location="'Listes'!A1" display="Listes"/>
  </hyperlinks>
  <printOptions horizontalCentered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64748B"/>
    <outlinePr summaryBelow="1" summaryRight="1"/>
    <pageSetUpPr fitToPage="1"/>
  </sheetPr>
  <dimension ref="A1:L40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6" customWidth="1" min="2" max="2"/>
    <col width="30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2" customWidth="1" min="12" max="12"/>
  </cols>
  <sheetData>
    <row r="1" ht="22" customHeight="1">
      <c r="A1" s="1" t="n"/>
      <c r="B1" s="2">
        <f>'Paramètres'!$C$7</f>
        <v/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30" customHeight="1">
      <c r="A2" s="1" t="n"/>
      <c r="B2" s="32" t="inlineStr">
        <is>
          <t>Démarrage</t>
        </is>
      </c>
      <c r="C2" s="1" t="n"/>
      <c r="D2" s="1" t="n"/>
      <c r="E2" s="1" t="n"/>
      <c r="F2" s="1" t="n"/>
      <c r="G2" s="1" t="n"/>
      <c r="H2" s="1" t="n"/>
      <c r="I2" s="1" t="n"/>
      <c r="J2" s="33" t="inlineStr">
        <is>
          <t>← Accueil</t>
        </is>
      </c>
      <c r="K2" s="1" t="n"/>
      <c r="L2" s="1" t="n"/>
    </row>
    <row r="3" ht="18" customHeight="1">
      <c r="A3" s="1" t="n"/>
      <c r="B3" s="4" t="inlineStr">
        <is>
          <t>Le parcours en 10 étapes et les repères pour interpréter tes statistiques.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</row>
    <row r="6" ht="24" customHeight="1">
      <c r="B6" s="14" t="inlineStr">
        <is>
          <t>PARCOURS EN 10 ÉTAPES</t>
        </is>
      </c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</row>
    <row r="7" ht="47" customHeight="1">
      <c r="B7" s="34" t="inlineStr">
        <is>
          <t>1</t>
        </is>
      </c>
      <c r="C7" s="35" t="inlineStr">
        <is>
          <t>Configure ton compte</t>
        </is>
      </c>
      <c r="D7" s="36" t="inlineStr">
        <is>
          <t>Paramètres</t>
        </is>
      </c>
      <c r="E7" s="37" t="inlineStr">
        <is>
          <t>Renseigne ton capital de départ, ton objectif, ta date de début et tes règles de risque (risque max par trade, R:R minimum, drawdown toléré). Toutes les formules, graphiques et alertes du classeur s'adaptent automatiquement à ces valeurs.</t>
        </is>
      </c>
      <c r="F7" s="37" t="n"/>
      <c r="G7" s="37" t="n"/>
      <c r="H7" s="37" t="n"/>
      <c r="I7" s="37" t="n"/>
      <c r="J7" s="37" t="n"/>
      <c r="K7" s="37" t="n"/>
    </row>
    <row r="8" ht="36" customHeight="1">
      <c r="B8" s="34" t="inlineStr">
        <is>
          <t>2</t>
        </is>
      </c>
      <c r="C8" s="35" t="inlineStr">
        <is>
          <t>Écris ton plan de trading</t>
        </is>
      </c>
      <c r="D8" s="36" t="inlineStr">
        <is>
          <t>Plan</t>
        </is>
      </c>
      <c r="E8" s="37" t="inlineStr">
        <is>
          <t>Définis tes marchés, tes setups autorisés, tes règles d'entrée et de sortie et tes limites de discipline. Un plan écrit à froid est ce qui te protège quand le marché te pousse à improviser.</t>
        </is>
      </c>
      <c r="F8" s="37" t="n"/>
      <c r="G8" s="37" t="n"/>
      <c r="H8" s="37" t="n"/>
      <c r="I8" s="37" t="n"/>
      <c r="J8" s="37" t="n"/>
      <c r="K8" s="37" t="n"/>
    </row>
    <row r="9" ht="36" customHeight="1">
      <c r="B9" s="34" t="inlineStr">
        <is>
          <t>3</t>
        </is>
      </c>
      <c r="C9" s="35" t="inlineStr">
        <is>
          <t>Prépare tes opportunités</t>
        </is>
      </c>
      <c r="D9" s="36" t="inlineStr">
        <is>
          <t>Watchlist</t>
        </is>
      </c>
      <c r="E9" s="37" t="inlineStr">
        <is>
          <t>Liste les actifs qui approchent d'un niveau intéressant avec entrée, stop et objectif. Le R:R se calcule seul : tu ne gardes que les configurations qui respectent ton ratio minimum.</t>
        </is>
      </c>
      <c r="F9" s="37" t="n"/>
      <c r="G9" s="37" t="n"/>
      <c r="H9" s="37" t="n"/>
      <c r="I9" s="37" t="n"/>
      <c r="J9" s="37" t="n"/>
      <c r="K9" s="37" t="n"/>
    </row>
    <row r="10" ht="36" customHeight="1">
      <c r="B10" s="34" t="inlineStr">
        <is>
          <t>4</t>
        </is>
      </c>
      <c r="C10" s="35" t="inlineStr">
        <is>
          <t>Dimensionne avant d'entrer</t>
        </is>
      </c>
      <c r="D10" s="36" t="inlineStr">
        <is>
          <t>Calculateur</t>
        </is>
      </c>
      <c r="E10" s="37" t="inlineStr">
        <is>
          <t>Saisis entrée, stop et objectif : le calculateur donne la quantité exacte pour ne risquer que le pourcentage fixé, vérifie la cohérence du trade et affiche le R:R net de frais.</t>
        </is>
      </c>
      <c r="F10" s="37" t="n"/>
      <c r="G10" s="37" t="n"/>
      <c r="H10" s="37" t="n"/>
      <c r="I10" s="37" t="n"/>
      <c r="J10" s="37" t="n"/>
      <c r="K10" s="37" t="n"/>
    </row>
    <row r="11" ht="36" customHeight="1">
      <c r="B11" s="34" t="inlineStr">
        <is>
          <t>5</t>
        </is>
      </c>
      <c r="C11" s="35" t="inlineStr">
        <is>
          <t>Valide la checklist</t>
        </is>
      </c>
      <c r="D11" s="36" t="inlineStr">
        <is>
          <t>Plan</t>
        </is>
      </c>
      <c r="E11" s="37" t="inlineStr">
        <is>
          <t>Réponds Oui / Non aux 8 critères de la checklist pré-trade. Le score obtenu (/8) est reporté dans le Journal. En dessous de ton score minimal, tu passes ton tour.</t>
        </is>
      </c>
      <c r="F11" s="37" t="n"/>
      <c r="G11" s="37" t="n"/>
      <c r="H11" s="37" t="n"/>
      <c r="I11" s="37" t="n"/>
      <c r="J11" s="37" t="n"/>
      <c r="K11" s="37" t="n"/>
    </row>
    <row r="12" ht="47" customHeight="1">
      <c r="B12" s="34" t="inlineStr">
        <is>
          <t>6</t>
        </is>
      </c>
      <c r="C12" s="35" t="inlineStr">
        <is>
          <t>Enregistre le trade</t>
        </is>
      </c>
      <c r="D12" s="36" t="inlineStr">
        <is>
          <t>Journal</t>
        </is>
      </c>
      <c r="E12" s="37" t="inlineStr">
        <is>
          <t>Une ligne = un trade. Remplis les cellules bleues à l'entrée (date, actif, sens, setup, prix, stop, objectif, score, émotion). Laisse le prix de sortie vide tant que la position est ouverte : elle apparaît dans le Dashboard.</t>
        </is>
      </c>
      <c r="F12" s="37" t="n"/>
      <c r="G12" s="37" t="n"/>
      <c r="H12" s="37" t="n"/>
      <c r="I12" s="37" t="n"/>
      <c r="J12" s="37" t="n"/>
      <c r="K12" s="37" t="n"/>
    </row>
    <row r="13" ht="36" customHeight="1">
      <c r="B13" s="34" t="inlineStr">
        <is>
          <t>7</t>
        </is>
      </c>
      <c r="C13" s="35" t="inlineStr">
        <is>
          <t>Clôture et analyse à chaud</t>
        </is>
      </c>
      <c r="D13" s="36" t="inlineStr">
        <is>
          <t>Journal</t>
        </is>
      </c>
      <c r="E13" s="37" t="inlineStr">
        <is>
          <t>À la sortie, complète prix de sortie, date, frais, respect du plan, erreur éventuelle et leçon. Les colonnes grises calculent P&amp;L, R-multiple, statut, capital cumulé et drawdown.</t>
        </is>
      </c>
      <c r="F13" s="37" t="n"/>
      <c r="G13" s="37" t="n"/>
      <c r="H13" s="37" t="n"/>
      <c r="I13" s="37" t="n"/>
      <c r="J13" s="37" t="n"/>
      <c r="K13" s="37" t="n"/>
    </row>
    <row r="14" ht="36" customHeight="1">
      <c r="B14" s="34" t="inlineStr">
        <is>
          <t>8</t>
        </is>
      </c>
      <c r="C14" s="35" t="inlineStr">
        <is>
          <t>Fais ta revue hebdomadaire</t>
        </is>
      </c>
      <c r="D14" s="36" t="inlineStr">
        <is>
          <t>Dashboard</t>
        </is>
      </c>
      <c r="E14" s="37" t="inlineStr">
        <is>
          <t>Chaque dimanche : lis le diagnostic du coach, regarde la courbe de capital, le drawdown et les positions ouvertes. Prépare la semaine suivante dans la Watchlist.</t>
        </is>
      </c>
      <c r="F14" s="37" t="n"/>
      <c r="G14" s="37" t="n"/>
      <c r="H14" s="37" t="n"/>
      <c r="I14" s="37" t="n"/>
      <c r="J14" s="37" t="n"/>
      <c r="K14" s="37" t="n"/>
    </row>
    <row r="15" ht="36" customHeight="1">
      <c r="B15" s="34" t="inlineStr">
        <is>
          <t>9</t>
        </is>
      </c>
      <c r="C15" s="35" t="inlineStr">
        <is>
          <t>Fais ta revue mensuelle</t>
        </is>
      </c>
      <c r="D15" s="36" t="inlineStr">
        <is>
          <t>Analyse</t>
        </is>
      </c>
      <c r="E15" s="37" t="inlineStr">
        <is>
          <t>Repère tes meilleurs et pires setups, actifs, jours et états émotionnels. Supprime ce qui coûte de l'argent, double ce qui fonctionne (sans augmenter le risque par trade).</t>
        </is>
      </c>
      <c r="F15" s="37" t="n"/>
      <c r="G15" s="37" t="n"/>
      <c r="H15" s="37" t="n"/>
      <c r="I15" s="37" t="n"/>
      <c r="J15" s="37" t="n"/>
      <c r="K15" s="37" t="n"/>
    </row>
    <row r="16" ht="36" customHeight="1">
      <c r="B16" s="34" t="inlineStr">
        <is>
          <t>10</t>
        </is>
      </c>
      <c r="C16" s="35" t="inlineStr">
        <is>
          <t>Progresse en continu</t>
        </is>
      </c>
      <c r="D16" s="36" t="inlineStr">
        <is>
          <t>Académie</t>
        </is>
      </c>
      <c r="E16" s="37" t="inlineStr">
        <is>
          <t>Utilise les onglets Stratégies, Indicateurs, Chandeliers, Risque, Psychologie, Erreurs, Routine et Glossaire comme référence pour affiner ton processus.</t>
        </is>
      </c>
      <c r="F16" s="37" t="n"/>
      <c r="G16" s="37" t="n"/>
      <c r="H16" s="37" t="n"/>
      <c r="I16" s="37" t="n"/>
      <c r="J16" s="37" t="n"/>
      <c r="K16" s="37" t="n"/>
    </row>
    <row r="18" ht="24" customHeight="1">
      <c r="B18" s="19" t="inlineStr">
        <is>
          <t>COMMENT INTERPRÉTER TES STATISTIQUES</t>
        </is>
      </c>
      <c r="C18" s="20" t="n"/>
      <c r="D18" s="20" t="n"/>
      <c r="E18" s="20" t="n"/>
      <c r="F18" s="20" t="n"/>
      <c r="G18" s="20" t="n"/>
      <c r="H18" s="20" t="n"/>
      <c r="I18" s="20" t="n"/>
      <c r="J18" s="20" t="n"/>
      <c r="K18" s="20" t="n"/>
    </row>
    <row r="19" ht="26" customHeight="1">
      <c r="B19" s="38" t="inlineStr">
        <is>
          <t>Indicateur</t>
        </is>
      </c>
      <c r="C19" s="38" t="n"/>
      <c r="D19" s="39" t="inlineStr">
        <is>
          <t>À améliorer</t>
        </is>
      </c>
      <c r="E19" s="40" t="inlineStr">
        <is>
          <t>Correct</t>
        </is>
      </c>
      <c r="F19" s="41" t="inlineStr">
        <is>
          <t>Solide</t>
        </is>
      </c>
      <c r="G19" s="38" t="inlineStr">
        <is>
          <t>Lecture</t>
        </is>
      </c>
      <c r="H19" s="38" t="n"/>
      <c r="I19" s="38" t="n"/>
      <c r="J19" s="38" t="n"/>
      <c r="K19" s="38" t="n"/>
    </row>
    <row r="20" ht="34" customHeight="1">
      <c r="B20" s="42" t="inlineStr">
        <is>
          <t>Profit Factor</t>
        </is>
      </c>
      <c r="C20" s="42" t="n"/>
      <c r="D20" s="43" t="inlineStr">
        <is>
          <t>&lt; 1,0</t>
        </is>
      </c>
      <c r="E20" s="44" t="inlineStr">
        <is>
          <t>1,0 – 1,5</t>
        </is>
      </c>
      <c r="F20" s="45" t="inlineStr">
        <is>
          <t>&gt; 1,5</t>
        </is>
      </c>
      <c r="G20" s="46" t="inlineStr">
        <is>
          <t>Gains bruts divisés par pertes brutes. Sous 1, la stratégie perd de l'argent.</t>
        </is>
      </c>
      <c r="H20" s="46" t="n"/>
      <c r="I20" s="46" t="n"/>
      <c r="J20" s="46" t="n"/>
      <c r="K20" s="46" t="n"/>
    </row>
    <row r="21" ht="28" customHeight="1">
      <c r="B21" s="47" t="inlineStr">
        <is>
          <t>Espérance (R moyen)</t>
        </is>
      </c>
      <c r="C21" s="47" t="n"/>
      <c r="D21" s="43" t="inlineStr">
        <is>
          <t>≤ 0</t>
        </is>
      </c>
      <c r="E21" s="44" t="inlineStr">
        <is>
          <t>0 – 0,3 R</t>
        </is>
      </c>
      <c r="F21" s="45" t="inlineStr">
        <is>
          <t>&gt; 0,3 R</t>
        </is>
      </c>
      <c r="G21" s="48" t="inlineStr">
        <is>
          <t>Gain moyen par trade exprimé en multiples du risque initial.</t>
        </is>
      </c>
      <c r="H21" s="48" t="n"/>
      <c r="I21" s="48" t="n"/>
      <c r="J21" s="48" t="n"/>
      <c r="K21" s="48" t="n"/>
    </row>
    <row r="22" ht="34" customHeight="1">
      <c r="B22" s="42" t="inlineStr">
        <is>
          <t>SQN (Van Tharp)</t>
        </is>
      </c>
      <c r="C22" s="42" t="n"/>
      <c r="D22" s="43" t="inlineStr">
        <is>
          <t>&lt; 1,6</t>
        </is>
      </c>
      <c r="E22" s="44" t="inlineStr">
        <is>
          <t>1,6 – 2,5</t>
        </is>
      </c>
      <c r="F22" s="45" t="inlineStr">
        <is>
          <t>&gt; 2,5</t>
        </is>
      </c>
      <c r="G22" s="46" t="inlineStr">
        <is>
          <t>Qualité du système : √N × R moyen / écart-type des R (≥ 30 trades pour être fiable).</t>
        </is>
      </c>
      <c r="H22" s="46" t="n"/>
      <c r="I22" s="46" t="n"/>
      <c r="J22" s="46" t="n"/>
      <c r="K22" s="46" t="n"/>
    </row>
    <row r="23" ht="34" customHeight="1">
      <c r="B23" s="47" t="inlineStr">
        <is>
          <t>Drawdown maximal</t>
        </is>
      </c>
      <c r="C23" s="47" t="n"/>
      <c r="D23" s="43" t="inlineStr">
        <is>
          <t>&gt; 25 %</t>
        </is>
      </c>
      <c r="E23" s="44" t="inlineStr">
        <is>
          <t>10 – 25 %</t>
        </is>
      </c>
      <c r="F23" s="45" t="inlineStr">
        <is>
          <t>&lt; 10 %</t>
        </is>
      </c>
      <c r="G23" s="48" t="inlineStr">
        <is>
          <t>Plus grande baisse depuis un pic de capital. Détermine ta capacité à tenir psychologiquement.</t>
        </is>
      </c>
      <c r="H23" s="48" t="n"/>
      <c r="I23" s="48" t="n"/>
      <c r="J23" s="48" t="n"/>
      <c r="K23" s="48" t="n"/>
    </row>
    <row r="24" ht="34" customHeight="1">
      <c r="B24" s="42" t="inlineStr">
        <is>
          <t>Respect du plan</t>
        </is>
      </c>
      <c r="C24" s="42" t="n"/>
      <c r="D24" s="43" t="inlineStr">
        <is>
          <t>&lt; 70 %</t>
        </is>
      </c>
      <c r="E24" s="44" t="inlineStr">
        <is>
          <t>70 – 90 %</t>
        </is>
      </c>
      <c r="F24" s="45" t="inlineStr">
        <is>
          <t>&gt; 90 %</t>
        </is>
      </c>
      <c r="G24" s="46" t="inlineStr">
        <is>
          <t>Part des trades exécutés conformément au plan. Première source de progression.</t>
        </is>
      </c>
      <c r="H24" s="46" t="n"/>
      <c r="I24" s="46" t="n"/>
      <c r="J24" s="46" t="n"/>
      <c r="K24" s="46" t="n"/>
    </row>
    <row r="25" ht="34" customHeight="1">
      <c r="B25" s="47" t="inlineStr">
        <is>
          <t>Ratio gain / perte moyen</t>
        </is>
      </c>
      <c r="C25" s="47" t="n"/>
      <c r="D25" s="43" t="inlineStr">
        <is>
          <t>&lt; 1,0</t>
        </is>
      </c>
      <c r="E25" s="44" t="inlineStr">
        <is>
          <t>1,0 – 1,5</t>
        </is>
      </c>
      <c r="F25" s="45" t="inlineStr">
        <is>
          <t>&gt; 1,5</t>
        </is>
      </c>
      <c r="G25" s="48" t="inlineStr">
        <is>
          <t>À lire avec le taux de réussite : 40 % de réussite suffisent à partir de 1,5 de ratio.</t>
        </is>
      </c>
      <c r="H25" s="48" t="n"/>
      <c r="I25" s="48" t="n"/>
      <c r="J25" s="48" t="n"/>
      <c r="K25" s="48" t="n"/>
    </row>
    <row r="27" ht="24" customHeight="1">
      <c r="B27" s="23" t="inlineStr">
        <is>
          <t>LÉGENDE DES COULEURS</t>
        </is>
      </c>
      <c r="C27" s="24" t="n"/>
      <c r="D27" s="24" t="n"/>
      <c r="E27" s="24" t="n"/>
      <c r="F27" s="24" t="n"/>
      <c r="G27" s="24" t="n"/>
      <c r="H27" s="24" t="n"/>
      <c r="I27" s="24" t="n"/>
      <c r="J27" s="24" t="n"/>
      <c r="K27" s="24" t="n"/>
    </row>
    <row r="28" ht="22" customHeight="1">
      <c r="B28" s="49" t="inlineStr">
        <is>
          <t>Cellule bleue</t>
        </is>
      </c>
      <c r="C28" s="49" t="n"/>
      <c r="D28" s="50" t="inlineStr">
        <is>
          <t>Saisie : c'est là que tu écris.</t>
        </is>
      </c>
      <c r="E28" s="50" t="n"/>
      <c r="F28" s="50" t="n"/>
      <c r="G28" s="50" t="n"/>
      <c r="H28" s="50" t="n"/>
      <c r="I28" s="50" t="n"/>
      <c r="J28" s="50" t="n"/>
      <c r="K28" s="50" t="n"/>
    </row>
    <row r="29" ht="22" customHeight="1">
      <c r="B29" s="51" t="inlineStr">
        <is>
          <t>Cellule grise</t>
        </is>
      </c>
      <c r="C29" s="51" t="n"/>
      <c r="D29" s="50" t="inlineStr">
        <is>
          <t>Calcul automatique : ne pas modifier.</t>
        </is>
      </c>
      <c r="E29" s="50" t="n"/>
      <c r="F29" s="50" t="n"/>
      <c r="G29" s="50" t="n"/>
      <c r="H29" s="50" t="n"/>
      <c r="I29" s="50" t="n"/>
      <c r="J29" s="50" t="n"/>
      <c r="K29" s="50" t="n"/>
    </row>
    <row r="30" ht="22" customHeight="1">
      <c r="B30" s="52" t="inlineStr">
        <is>
          <t>Texte vert</t>
        </is>
      </c>
      <c r="C30" s="52" t="n"/>
      <c r="D30" s="50" t="inlineStr">
        <is>
          <t>Résultat positif ou lien vers un autre onglet.</t>
        </is>
      </c>
      <c r="E30" s="50" t="n"/>
      <c r="F30" s="50" t="n"/>
      <c r="G30" s="50" t="n"/>
      <c r="H30" s="50" t="n"/>
      <c r="I30" s="50" t="n"/>
      <c r="J30" s="50" t="n"/>
      <c r="K30" s="50" t="n"/>
    </row>
    <row r="31" ht="22" customHeight="1">
      <c r="B31" s="53" t="inlineStr">
        <is>
          <t>Texte rouge</t>
        </is>
      </c>
      <c r="C31" s="53" t="n"/>
      <c r="D31" s="50" t="inlineStr">
        <is>
          <t>Résultat négatif ou alerte.</t>
        </is>
      </c>
      <c r="E31" s="50" t="n"/>
      <c r="F31" s="50" t="n"/>
      <c r="G31" s="50" t="n"/>
      <c r="H31" s="50" t="n"/>
      <c r="I31" s="50" t="n"/>
      <c r="J31" s="50" t="n"/>
      <c r="K31" s="50" t="n"/>
    </row>
    <row r="33" ht="24" customHeight="1">
      <c r="B33" s="54" t="inlineStr">
        <is>
          <t>QUESTIONS FRÉQUENTES</t>
        </is>
      </c>
      <c r="C33" s="55" t="n"/>
      <c r="D33" s="55" t="n"/>
      <c r="E33" s="55" t="n"/>
      <c r="F33" s="55" t="n"/>
      <c r="G33" s="55" t="n"/>
      <c r="H33" s="55" t="n"/>
      <c r="I33" s="55" t="n"/>
      <c r="J33" s="55" t="n"/>
      <c r="K33" s="55" t="n"/>
    </row>
    <row r="34" ht="34" customHeight="1">
      <c r="B34" s="35" t="inlineStr">
        <is>
          <t>Combien de trades faut-il avant de tirer des conclusions ?</t>
        </is>
      </c>
      <c r="C34" s="35" t="n"/>
      <c r="D34" s="35" t="n"/>
      <c r="E34" s="37" t="inlineStr">
        <is>
          <t>Au moins 30 trades clôturés par setup pour que les statistiques commencent à être représentatives, idéalement 100.</t>
        </is>
      </c>
      <c r="F34" s="37" t="n"/>
      <c r="G34" s="37" t="n"/>
      <c r="H34" s="37" t="n"/>
      <c r="I34" s="37" t="n"/>
      <c r="J34" s="37" t="n"/>
      <c r="K34" s="37" t="n"/>
    </row>
    <row r="35" ht="34" customHeight="1">
      <c r="B35" s="56" t="inlineStr">
        <is>
          <t>Dans quel ordre saisir mes trades ?</t>
        </is>
      </c>
      <c r="C35" s="56" t="n"/>
      <c r="D35" s="56" t="n"/>
      <c r="E35" s="57" t="inlineStr">
        <is>
          <t>Chronologiquement, ligne après ligne. Le capital cumulé, le drawdown et les séries se calculent dans l'ordre des lignes.</t>
        </is>
      </c>
      <c r="F35" s="57" t="n"/>
      <c r="G35" s="57" t="n"/>
      <c r="H35" s="57" t="n"/>
      <c r="I35" s="57" t="n"/>
      <c r="J35" s="57" t="n"/>
      <c r="K35" s="57" t="n"/>
    </row>
    <row r="36" ht="34" customHeight="1">
      <c r="B36" s="35" t="inlineStr">
        <is>
          <t>Puis-je ajouter mes propres setups, actifs ou émotions ?</t>
        </is>
      </c>
      <c r="C36" s="35" t="n"/>
      <c r="D36" s="35" t="n"/>
      <c r="E36" s="37" t="inlineStr">
        <is>
          <t>Oui. Modifie les listes bleues de l'onglet Listes : menus déroulants et tableaux d'analyse se mettent à jour.</t>
        </is>
      </c>
      <c r="F36" s="37" t="n"/>
      <c r="G36" s="37" t="n"/>
      <c r="H36" s="37" t="n"/>
      <c r="I36" s="37" t="n"/>
      <c r="J36" s="37" t="n"/>
      <c r="K36" s="37" t="n"/>
    </row>
    <row r="37" ht="34" customHeight="1">
      <c r="B37" s="56" t="inlineStr">
        <is>
          <t>Comment gérer un trade clôturé en plusieurs parties ?</t>
        </is>
      </c>
      <c r="C37" s="56" t="n"/>
      <c r="D37" s="56" t="n"/>
      <c r="E37" s="57" t="inlineStr">
        <is>
          <t>Saisis le prix de sortie moyen pondéré et les frais totaux, ou une ligne par partie en reprenant le même stop initial.</t>
        </is>
      </c>
      <c r="F37" s="57" t="n"/>
      <c r="G37" s="57" t="n"/>
      <c r="H37" s="57" t="n"/>
      <c r="I37" s="57" t="n"/>
      <c r="J37" s="57" t="n"/>
      <c r="K37" s="57" t="n"/>
    </row>
    <row r="38" ht="32" customHeight="1">
      <c r="B38" s="35" t="inlineStr">
        <is>
          <t>Où changer le nom du classeur ?</t>
        </is>
      </c>
      <c r="C38" s="35" t="n"/>
      <c r="D38" s="35" t="n"/>
      <c r="E38" s="37" t="inlineStr">
        <is>
          <t>Dans Paramètres, cellule « Nom du classeur » : il se répercute sur tous les onglets.</t>
        </is>
      </c>
      <c r="F38" s="37" t="n"/>
      <c r="G38" s="37" t="n"/>
      <c r="H38" s="37" t="n"/>
      <c r="I38" s="37" t="n"/>
      <c r="J38" s="37" t="n"/>
      <c r="K38" s="37" t="n"/>
    </row>
    <row r="40" ht="30" customHeight="1">
      <c r="B40" s="31" t="inlineStr">
        <is>
          <t>Ce classeur est un outil de suivi, de calcul et d'éducation. Il ne constitue pas un conseil en investissement. Le trading comporte un risque de perte en capital ; les performances passées ne préjugent pas des performances futures.</t>
        </is>
      </c>
      <c r="C40" s="31" t="n"/>
      <c r="D40" s="31" t="n"/>
      <c r="E40" s="31" t="n"/>
      <c r="F40" s="31" t="n"/>
      <c r="G40" s="31" t="n"/>
      <c r="H40" s="31" t="n"/>
      <c r="I40" s="31" t="n"/>
      <c r="J40" s="31" t="n"/>
      <c r="K40" s="31" t="n"/>
    </row>
  </sheetData>
  <mergeCells count="48">
    <mergeCell ref="E36:K36"/>
    <mergeCell ref="G21:K21"/>
    <mergeCell ref="B25:C25"/>
    <mergeCell ref="B40:K40"/>
    <mergeCell ref="B22:C22"/>
    <mergeCell ref="B6:K6"/>
    <mergeCell ref="E16:K16"/>
    <mergeCell ref="B31:C31"/>
    <mergeCell ref="E7:K7"/>
    <mergeCell ref="G23:K23"/>
    <mergeCell ref="D31:K31"/>
    <mergeCell ref="B33:K33"/>
    <mergeCell ref="B38:D38"/>
    <mergeCell ref="B34:D34"/>
    <mergeCell ref="E37:K37"/>
    <mergeCell ref="B21:C21"/>
    <mergeCell ref="B37:D37"/>
    <mergeCell ref="E12:K12"/>
    <mergeCell ref="B23:C23"/>
    <mergeCell ref="G19:K19"/>
    <mergeCell ref="E8:K8"/>
    <mergeCell ref="E14:K14"/>
    <mergeCell ref="B29:C29"/>
    <mergeCell ref="B36:D36"/>
    <mergeCell ref="B18:K18"/>
    <mergeCell ref="B19:C19"/>
    <mergeCell ref="G24:K24"/>
    <mergeCell ref="B27:K27"/>
    <mergeCell ref="B28:C28"/>
    <mergeCell ref="B35:D35"/>
    <mergeCell ref="E35:K35"/>
    <mergeCell ref="D28:K28"/>
    <mergeCell ref="E38:K38"/>
    <mergeCell ref="E10:K10"/>
    <mergeCell ref="E13:K13"/>
    <mergeCell ref="B24:C24"/>
    <mergeCell ref="B30:C30"/>
    <mergeCell ref="G20:K20"/>
    <mergeCell ref="D30:K30"/>
    <mergeCell ref="E9:K9"/>
    <mergeCell ref="J2:K2"/>
    <mergeCell ref="B20:C20"/>
    <mergeCell ref="E34:K34"/>
    <mergeCell ref="G25:K25"/>
    <mergeCell ref="D29:K29"/>
    <mergeCell ref="E15:K15"/>
    <mergeCell ref="G22:K22"/>
    <mergeCell ref="E11:K11"/>
  </mergeCells>
  <hyperlinks>
    <hyperlink ref="J2" location="'Accueil'!A1" display="Accueil"/>
    <hyperlink ref="D7" location="'Paramètres'!A1" display="Paramètres"/>
    <hyperlink ref="D8" location="'Plan'!A1" display="Plan"/>
    <hyperlink ref="D9" location="'Watchlist'!A1" display="Watchlist"/>
    <hyperlink ref="D10" location="'Calculateur'!A1" display="Calculateur"/>
    <hyperlink ref="D11" location="'Plan'!A1" display="Plan"/>
    <hyperlink ref="D12" location="'Journal'!A1" display="Journal"/>
    <hyperlink ref="D13" location="'Journal'!A1" display="Journal"/>
    <hyperlink ref="D14" location="'Dashboard'!A1" display="Dashboard"/>
    <hyperlink ref="D15" location="'Analyse'!A1" display="Analyse"/>
    <hyperlink ref="D16" location="'Stratégies'!A1" display="Académie"/>
  </hyperlinks>
  <printOptions horizontalCentered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64748B"/>
    <outlinePr summaryBelow="1" summaryRight="1"/>
    <pageSetUpPr fitToPage="1"/>
  </sheetPr>
  <dimension ref="A1:H26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4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2" customHeight="1">
      <c r="A1" s="1" t="n"/>
      <c r="B1" s="2">
        <f>'Paramètres'!$C$7</f>
        <v/>
      </c>
      <c r="C1" s="1" t="n"/>
      <c r="D1" s="1" t="n"/>
      <c r="E1" s="1" t="n"/>
      <c r="F1" s="1" t="n"/>
      <c r="G1" s="1" t="n"/>
      <c r="H1" s="1" t="n"/>
    </row>
    <row r="2" ht="30" customHeight="1">
      <c r="A2" s="1" t="n"/>
      <c r="B2" s="32" t="inlineStr">
        <is>
          <t>Paramètres</t>
        </is>
      </c>
      <c r="C2" s="1" t="n"/>
      <c r="D2" s="1" t="n"/>
      <c r="E2" s="1" t="n"/>
      <c r="F2" s="1" t="n"/>
      <c r="G2" s="33" t="inlineStr">
        <is>
          <t>← Accueil</t>
        </is>
      </c>
      <c r="H2" s="1" t="n"/>
    </row>
    <row r="3" ht="18" customHeight="1">
      <c r="A3" s="1" t="n"/>
      <c r="B3" s="4" t="inlineStr">
        <is>
          <t>Configure ton compte, tes objectifs et tes règles de risque. Tout le classeur s'adapte à ces valeurs.</t>
        </is>
      </c>
      <c r="C3" s="1" t="n"/>
      <c r="D3" s="1" t="n"/>
      <c r="E3" s="1" t="n"/>
      <c r="F3" s="1" t="n"/>
      <c r="G3" s="1" t="n"/>
      <c r="H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</row>
    <row r="6" ht="24" customHeight="1">
      <c r="B6" s="14" t="inlineStr">
        <is>
          <t>IDENTITÉ</t>
        </is>
      </c>
      <c r="C6" s="15" t="n"/>
      <c r="D6" s="15" t="n"/>
      <c r="E6" s="15" t="n"/>
      <c r="F6" s="15" t="n"/>
      <c r="G6" s="15" t="n"/>
      <c r="H6" s="15" t="n"/>
    </row>
    <row r="7" ht="24" customHeight="1">
      <c r="B7" s="58" t="inlineStr">
        <is>
          <t>Nom du classeur</t>
        </is>
      </c>
      <c r="C7" s="49" t="inlineStr">
        <is>
          <t>APEX</t>
        </is>
      </c>
      <c r="D7" s="59" t="inlineStr">
        <is>
          <t>Apparaît dans l'en-tête de chaque onglet.</t>
        </is>
      </c>
      <c r="E7" s="59" t="n"/>
      <c r="F7" s="59" t="n"/>
      <c r="G7" s="59" t="n"/>
      <c r="H7" s="59" t="n"/>
    </row>
    <row r="8" ht="24" customHeight="1">
      <c r="B8" s="19" t="inlineStr">
        <is>
          <t>COMPTE &amp; OBJECTIFS</t>
        </is>
      </c>
      <c r="C8" s="20" t="n"/>
      <c r="D8" s="20" t="n"/>
      <c r="E8" s="20" t="n"/>
      <c r="F8" s="20" t="n"/>
      <c r="G8" s="20" t="n"/>
      <c r="H8" s="20" t="n"/>
    </row>
    <row r="9" ht="24" customHeight="1">
      <c r="B9" s="58" t="inlineStr">
        <is>
          <t>Capital de départ</t>
        </is>
      </c>
      <c r="C9" s="60" t="n">
        <v>5000</v>
      </c>
      <c r="D9" s="59" t="inlineStr">
        <is>
          <t>Solde initial du compte de trading, dans ta devise.</t>
        </is>
      </c>
      <c r="E9" s="59" t="n"/>
      <c r="F9" s="59" t="n"/>
      <c r="G9" s="59" t="n"/>
      <c r="H9" s="59" t="n"/>
    </row>
    <row r="10" ht="24" customHeight="1">
      <c r="B10" s="58" t="inlineStr">
        <is>
          <t>Objectif de capital</t>
        </is>
      </c>
      <c r="C10" s="60" t="n">
        <v>8000</v>
      </c>
      <c r="D10" s="59" t="inlineStr">
        <is>
          <t>Cible à atteindre : alimente le Dashboard et l'onglet Objectifs.</t>
        </is>
      </c>
      <c r="E10" s="59" t="n"/>
      <c r="F10" s="59" t="n"/>
      <c r="G10" s="59" t="n"/>
      <c r="H10" s="59" t="n"/>
    </row>
    <row r="11" ht="24" customHeight="1">
      <c r="B11" s="58" t="inlineStr">
        <is>
          <t>Date de début du plan</t>
        </is>
      </c>
      <c r="C11" s="61" t="n">
        <v>46143</v>
      </c>
      <c r="D11" s="59" t="inlineStr">
        <is>
          <t>Point de départ du suivi mensuel dans l'onglet Objectifs.</t>
        </is>
      </c>
      <c r="E11" s="59" t="n"/>
      <c r="F11" s="59" t="n"/>
      <c r="G11" s="59" t="n"/>
      <c r="H11" s="59" t="n"/>
    </row>
    <row r="12" ht="24" customHeight="1">
      <c r="B12" s="58" t="inlineStr">
        <is>
          <t>Année d'analyse</t>
        </is>
      </c>
      <c r="C12" s="62" t="n">
        <v>2026</v>
      </c>
      <c r="D12" s="59" t="inlineStr">
        <is>
          <t>Année affichée dans les graphiques et tableaux mensuels.</t>
        </is>
      </c>
      <c r="E12" s="59" t="n"/>
      <c r="F12" s="59" t="n"/>
      <c r="G12" s="59" t="n"/>
      <c r="H12" s="59" t="n"/>
    </row>
    <row r="13" ht="24" customHeight="1">
      <c r="B13" s="58" t="inlineStr">
        <is>
          <t>Rendement mensuel visé</t>
        </is>
      </c>
      <c r="C13" s="63" t="n">
        <v>0.05</v>
      </c>
      <c r="D13" s="59" t="inlineStr">
        <is>
          <t>Hypothèse de projection. La régularité compte plus qu'un pic isolé.</t>
        </is>
      </c>
      <c r="E13" s="59" t="n"/>
      <c r="F13" s="59" t="n"/>
      <c r="G13" s="59" t="n"/>
      <c r="H13" s="59" t="n"/>
    </row>
    <row r="14" ht="24" customHeight="1">
      <c r="B14" s="58" t="inlineStr">
        <is>
          <t>Apport mensuel</t>
        </is>
      </c>
      <c r="C14" s="60" t="n">
        <v>0</v>
      </c>
      <c r="D14" s="59" t="inlineStr">
        <is>
          <t>Montant ajouté chaque mois à ton capital (0 si aucun).</t>
        </is>
      </c>
      <c r="E14" s="59" t="n"/>
      <c r="F14" s="59" t="n"/>
      <c r="G14" s="59" t="n"/>
      <c r="H14" s="59" t="n"/>
    </row>
    <row r="15" ht="24" customHeight="1">
      <c r="B15" s="54" t="inlineStr">
        <is>
          <t>RÈGLES DE RISQUE</t>
        </is>
      </c>
      <c r="C15" s="55" t="n"/>
      <c r="D15" s="55" t="n"/>
      <c r="E15" s="55" t="n"/>
      <c r="F15" s="55" t="n"/>
      <c r="G15" s="55" t="n"/>
      <c r="H15" s="55" t="n"/>
    </row>
    <row r="16" ht="24" customHeight="1">
      <c r="B16" s="58" t="inlineStr">
        <is>
          <t>Risque max par trade</t>
        </is>
      </c>
      <c r="C16" s="63" t="n">
        <v>0.01</v>
      </c>
      <c r="D16" s="59" t="inlineStr">
        <is>
          <t>Part du capital perdue si le stop est touché. 0,5 – 1 % est une référence courante.</t>
        </is>
      </c>
      <c r="E16" s="59" t="n"/>
      <c r="F16" s="59" t="n"/>
      <c r="G16" s="59" t="n"/>
      <c r="H16" s="59" t="n"/>
    </row>
    <row r="17" ht="24" customHeight="1">
      <c r="B17" s="58" t="inlineStr">
        <is>
          <t>R:R minimum</t>
        </is>
      </c>
      <c r="C17" s="64" t="n">
        <v>1.5</v>
      </c>
      <c r="D17" s="59" t="inlineStr">
        <is>
          <t>Ratio gain / risque minimal exigé avant d'entrer dans un trade.</t>
        </is>
      </c>
      <c r="E17" s="59" t="n"/>
      <c r="F17" s="59" t="n"/>
      <c r="G17" s="59" t="n"/>
      <c r="H17" s="59" t="n"/>
    </row>
    <row r="18" ht="24" customHeight="1">
      <c r="B18" s="58" t="inlineStr">
        <is>
          <t>Frais par transaction</t>
        </is>
      </c>
      <c r="C18" s="65" t="n">
        <v>0.001</v>
      </c>
      <c r="D18" s="59" t="inlineStr">
        <is>
          <t>Frais d'exécution par ordre (entrée ou sortie). Utilisé par le Calculateur.</t>
        </is>
      </c>
      <c r="E18" s="59" t="n"/>
      <c r="F18" s="59" t="n"/>
      <c r="G18" s="59" t="n"/>
      <c r="H18" s="59" t="n"/>
    </row>
    <row r="19" ht="24" customHeight="1">
      <c r="B19" s="58" t="inlineStr">
        <is>
          <t>Positions ouvertes max</t>
        </is>
      </c>
      <c r="C19" s="62" t="n">
        <v>3</v>
      </c>
      <c r="D19" s="59" t="inlineStr">
        <is>
          <t>Nombre maximal de positions simultanées autorisé par ton plan.</t>
        </is>
      </c>
      <c r="E19" s="59" t="n"/>
      <c r="F19" s="59" t="n"/>
      <c r="G19" s="59" t="n"/>
      <c r="H19" s="59" t="n"/>
    </row>
    <row r="20" ht="24" customHeight="1">
      <c r="B20" s="58" t="inlineStr">
        <is>
          <t>Perte journalière max</t>
        </is>
      </c>
      <c r="C20" s="63" t="n">
        <v>0.03</v>
      </c>
      <c r="D20" s="59" t="inlineStr">
        <is>
          <t>Au-delà de ce seuil, tu arrêtes de trader pour la journée.</t>
        </is>
      </c>
      <c r="E20" s="59" t="n"/>
      <c r="F20" s="59" t="n"/>
      <c r="G20" s="59" t="n"/>
      <c r="H20" s="59" t="n"/>
    </row>
    <row r="21" ht="24" customHeight="1">
      <c r="B21" s="58" t="inlineStr">
        <is>
          <t>Drawdown max toléré</t>
        </is>
      </c>
      <c r="C21" s="63" t="n">
        <v>0.15</v>
      </c>
      <c r="D21" s="59" t="inlineStr">
        <is>
          <t>Seuil d'alerte du coach : au-delà, tu réduis le risque par trade.</t>
        </is>
      </c>
      <c r="E21" s="59" t="n"/>
      <c r="F21" s="59" t="n"/>
      <c r="G21" s="59" t="n"/>
      <c r="H21" s="59" t="n"/>
    </row>
    <row r="23" ht="24" customHeight="1">
      <c r="B23" s="23" t="inlineStr">
        <is>
          <t>LÉGENDE DES COULEURS</t>
        </is>
      </c>
      <c r="C23" s="24" t="n"/>
      <c r="D23" s="24" t="n"/>
      <c r="E23" s="24" t="n"/>
      <c r="F23" s="24" t="n"/>
      <c r="G23" s="24" t="n"/>
      <c r="H23" s="24" t="n"/>
    </row>
    <row r="24" ht="22" customHeight="1">
      <c r="B24" s="49" t="inlineStr">
        <is>
          <t>Cellule bleue</t>
        </is>
      </c>
      <c r="C24" s="50" t="inlineStr">
        <is>
          <t>Saisie : c'est là que tu écris.</t>
        </is>
      </c>
      <c r="D24" s="50" t="n"/>
      <c r="E24" s="50" t="n"/>
      <c r="F24" s="50" t="n"/>
      <c r="G24" s="50" t="n"/>
      <c r="H24" s="50" t="n"/>
    </row>
    <row r="25" ht="22" customHeight="1">
      <c r="B25" s="51" t="inlineStr">
        <is>
          <t>Cellule grise</t>
        </is>
      </c>
      <c r="C25" s="50" t="inlineStr">
        <is>
          <t>Calcul automatique : ne pas modifier.</t>
        </is>
      </c>
      <c r="D25" s="50" t="n"/>
      <c r="E25" s="50" t="n"/>
      <c r="F25" s="50" t="n"/>
      <c r="G25" s="50" t="n"/>
      <c r="H25" s="50" t="n"/>
    </row>
    <row r="26" ht="22" customHeight="1">
      <c r="B26" s="52" t="inlineStr">
        <is>
          <t>Texte vert / rouge</t>
        </is>
      </c>
      <c r="C26" s="50" t="inlineStr">
        <is>
          <t>Résultat positif / négatif ou alerte.</t>
        </is>
      </c>
      <c r="D26" s="50" t="n"/>
      <c r="E26" s="50" t="n"/>
      <c r="F26" s="50" t="n"/>
      <c r="G26" s="50" t="n"/>
      <c r="H26" s="50" t="n"/>
    </row>
  </sheetData>
  <mergeCells count="21">
    <mergeCell ref="C25:H25"/>
    <mergeCell ref="D20:H20"/>
    <mergeCell ref="G2:H2"/>
    <mergeCell ref="D10:H10"/>
    <mergeCell ref="D19:H19"/>
    <mergeCell ref="B6:H6"/>
    <mergeCell ref="B15:H15"/>
    <mergeCell ref="D21:H21"/>
    <mergeCell ref="D11:H11"/>
    <mergeCell ref="D13:H13"/>
    <mergeCell ref="D17:H17"/>
    <mergeCell ref="D7:H7"/>
    <mergeCell ref="D16:H16"/>
    <mergeCell ref="D18:H18"/>
    <mergeCell ref="D9:H9"/>
    <mergeCell ref="B23:H23"/>
    <mergeCell ref="B8:H8"/>
    <mergeCell ref="D12:H12"/>
    <mergeCell ref="C24:H24"/>
    <mergeCell ref="D14:H14"/>
    <mergeCell ref="C26:H26"/>
  </mergeCells>
  <dataValidations count="1">
    <dataValidation sqref="C13 C16 C18 C20 C21" showDropDown="0" showInputMessage="0" showErrorMessage="1" allowBlank="0" errorTitle="Valeur invalide" error="Saisis un pourcentage entre 0 % et 100 %." type="decimal" operator="between">
      <formula1>0</formula1>
      <formula2>1</formula2>
    </dataValidation>
  </dataValidations>
  <hyperlinks>
    <hyperlink ref="G2" location="'Accueil'!A1" display="Accueil"/>
  </hyperlinks>
  <printOptions horizontalCentered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A1:N81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12.5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  <col width="12.5" customWidth="1" min="11" max="11"/>
    <col width="12.5" customWidth="1" min="12" max="12"/>
    <col width="12.5" customWidth="1" min="13" max="13"/>
    <col width="2" customWidth="1" min="14" max="14"/>
  </cols>
  <sheetData>
    <row r="1" ht="22" customHeight="1">
      <c r="A1" s="1" t="n"/>
      <c r="B1" s="2">
        <f>'Paramètres'!$C$7</f>
        <v/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 ht="30" customHeight="1">
      <c r="A2" s="1" t="n"/>
      <c r="B2" s="32" t="inlineStr">
        <is>
          <t>Dashboard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33" t="inlineStr">
        <is>
          <t>← Accueil</t>
        </is>
      </c>
      <c r="M2" s="1" t="n"/>
      <c r="N2" s="1" t="n"/>
    </row>
    <row r="3" ht="18" customHeight="1">
      <c r="A3" s="1" t="n"/>
      <c r="B3" s="4" t="inlineStr">
        <is>
          <t>Vue d'ensemble de ta performance. Tout se met à jour automatiquement avec ton Journal.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</row>
    <row r="5" ht="24" customHeight="1">
      <c r="B5" s="14" t="inlineStr">
        <is>
          <t>VUE D'ENSEMBLE</t>
        </is>
      </c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  <c r="L5" s="15" t="n"/>
      <c r="M5" s="15" t="n"/>
    </row>
    <row r="6" ht="20" customHeight="1">
      <c r="B6" s="66" t="inlineStr">
        <is>
          <t>CAPITAL ACTUEL</t>
        </is>
      </c>
      <c r="C6" s="66" t="n"/>
      <c r="D6" s="67" t="inlineStr">
        <is>
          <t>P&amp;L NET</t>
        </is>
      </c>
      <c r="E6" s="67" t="n"/>
      <c r="F6" s="68" t="inlineStr">
        <is>
          <t>RENDEMENT</t>
        </is>
      </c>
      <c r="G6" s="68" t="n"/>
      <c r="H6" s="69" t="inlineStr">
        <is>
          <t>TAUX DE RÉUSSITE</t>
        </is>
      </c>
      <c r="I6" s="69" t="n"/>
      <c r="J6" s="66" t="inlineStr">
        <is>
          <t>PROFIT FACTOR</t>
        </is>
      </c>
      <c r="K6" s="66" t="n"/>
      <c r="L6" s="67" t="inlineStr">
        <is>
          <t>ESPÉRANCE</t>
        </is>
      </c>
      <c r="M6" s="67" t="n"/>
    </row>
    <row r="7" ht="38" customHeight="1">
      <c r="B7" s="70">
        <f>'Analyse'!$C$10</f>
        <v/>
      </c>
      <c r="C7" s="70" t="n"/>
      <c r="D7" s="71">
        <f>'Analyse'!$C$9</f>
        <v/>
      </c>
      <c r="E7" s="71" t="n"/>
      <c r="F7" s="72">
        <f>'Analyse'!$C$11</f>
        <v/>
      </c>
      <c r="G7" s="72" t="n"/>
      <c r="H7" s="73">
        <f>'Analyse'!$C$16</f>
        <v/>
      </c>
      <c r="I7" s="73" t="n"/>
      <c r="J7" s="74">
        <f>'Analyse'!$C$19</f>
        <v/>
      </c>
      <c r="K7" s="74" t="n"/>
      <c r="L7" s="75">
        <f>'Analyse'!$C$24</f>
        <v/>
      </c>
      <c r="M7" s="75" t="n"/>
    </row>
    <row r="8" ht="20" customHeight="1">
      <c r="B8" s="76">
        <f>"Départ : "&amp;FIXED('Analyse'!$C$8,0)</f>
        <v/>
      </c>
      <c r="C8" s="76" t="n"/>
      <c r="D8" s="76">
        <f>"Frais cumulés : "&amp;FIXED('Analyse'!$C$42,2)</f>
        <v/>
      </c>
      <c r="E8" s="76" t="n"/>
      <c r="F8" s="76">
        <f>ROUND('Données'!$V$11*100,0)&amp;" % de l'objectif"</f>
        <v/>
      </c>
      <c r="G8" s="76" t="n"/>
      <c r="H8" s="76">
        <f>'Analyse'!$C$14&amp;" gagnants · "&amp;'Analyse'!$C$15&amp;" perdants"</f>
        <v/>
      </c>
      <c r="I8" s="76" t="n"/>
      <c r="J8" s="76">
        <f>"Gains "&amp;FIXED('Analyse'!$C$17,0)&amp;" · Pertes "&amp;FIXED(ABS('Analyse'!$C$18),0)</f>
        <v/>
      </c>
      <c r="K8" s="76" t="n"/>
      <c r="L8" s="76">
        <f>"SQN : "&amp;ROUND('Analyse'!$C$25,2)</f>
        <v/>
      </c>
      <c r="M8" s="76" t="n"/>
    </row>
    <row r="9" ht="8" customHeight="1"/>
    <row r="10" ht="20" customHeight="1">
      <c r="B10" s="68" t="inlineStr">
        <is>
          <t>TRADES CLÔTURÉS</t>
        </is>
      </c>
      <c r="C10" s="68" t="n"/>
      <c r="D10" s="69" t="inlineStr">
        <is>
          <t>POSITIONS OUVERTES</t>
        </is>
      </c>
      <c r="E10" s="69" t="n"/>
      <c r="F10" s="66" t="inlineStr">
        <is>
          <t>GAIN MOYEN</t>
        </is>
      </c>
      <c r="G10" s="66" t="n"/>
      <c r="H10" s="77" t="inlineStr">
        <is>
          <t>PERTE MOYENNE</t>
        </is>
      </c>
      <c r="I10" s="77" t="n"/>
      <c r="J10" s="77" t="inlineStr">
        <is>
          <t>DRAWDOWN MAX</t>
        </is>
      </c>
      <c r="K10" s="77" t="n"/>
      <c r="L10" s="67" t="inlineStr">
        <is>
          <t>RATIO GAIN / PERTE</t>
        </is>
      </c>
      <c r="M10" s="67" t="n"/>
    </row>
    <row r="11" ht="38" customHeight="1">
      <c r="B11" s="78">
        <f>'Analyse'!$C$12</f>
        <v/>
      </c>
      <c r="C11" s="78" t="n"/>
      <c r="D11" s="78">
        <f>'Analyse'!$C$13</f>
        <v/>
      </c>
      <c r="E11" s="78" t="n"/>
      <c r="F11" s="70">
        <f>'Analyse'!$C$20</f>
        <v/>
      </c>
      <c r="G11" s="70" t="n"/>
      <c r="H11" s="70">
        <f>'Analyse'!$C$21</f>
        <v/>
      </c>
      <c r="I11" s="70" t="n"/>
      <c r="J11" s="73">
        <f>'Analyse'!$C$32</f>
        <v/>
      </c>
      <c r="K11" s="73" t="n"/>
      <c r="L11" s="74">
        <f>'Analyse'!$C$22</f>
        <v/>
      </c>
      <c r="M11" s="74" t="n"/>
    </row>
    <row r="12" ht="20" customHeight="1">
      <c r="B12" s="76">
        <f>"Durée moyenne : "&amp;ROUND('Analyse'!$C$34,1)&amp;" j"</f>
        <v/>
      </c>
      <c r="C12" s="76" t="n"/>
      <c r="D12" s="76">
        <f>"Limite : "&amp;'Paramètres'!$C$19</f>
        <v/>
      </c>
      <c r="E12" s="76" t="n"/>
      <c r="F12" s="76">
        <f>"Meilleur : "&amp;FIXED('Analyse'!$C$26,2)</f>
        <v/>
      </c>
      <c r="G12" s="76" t="n"/>
      <c r="H12" s="76">
        <f>"Pire : "&amp;FIXED('Analyse'!$C$27,2)</f>
        <v/>
      </c>
      <c r="I12" s="76" t="n"/>
      <c r="J12" s="76">
        <f>"Actuel : "&amp;ROUND('Analyse'!$C$33*100,1)&amp;" %"</f>
        <v/>
      </c>
      <c r="K12" s="76" t="n"/>
      <c r="L12" s="76">
        <f>"R:R prévu moyen : "&amp;ROUND('Analyse'!$C$35,2)</f>
        <v/>
      </c>
      <c r="M12" s="76" t="n"/>
    </row>
    <row r="14" ht="24" customHeight="1">
      <c r="B14" s="23" t="inlineStr">
        <is>
          <t>COACH · DIAGNOSTIC AUTOMATIQUE</t>
        </is>
      </c>
      <c r="C14" s="24" t="n"/>
      <c r="D14" s="24" t="n"/>
      <c r="E14" s="24" t="n"/>
      <c r="F14" s="24" t="n"/>
      <c r="G14" s="24" t="n"/>
      <c r="H14" s="24" t="n"/>
      <c r="I14" s="24" t="n"/>
      <c r="J14" s="24" t="n"/>
      <c r="K14" s="24" t="n"/>
      <c r="L14" s="24" t="n"/>
      <c r="M14" s="24" t="n"/>
    </row>
    <row r="15" ht="30" customHeight="1">
      <c r="B15" s="79">
        <f>IF('Analyse'!$C$12&lt;10,"INFO",IF('Analyse'!$C$24&gt;0,"BON","ALERTE"))</f>
        <v/>
      </c>
      <c r="C15" s="80">
        <f>IF('Analyse'!$C$12&lt;10,"Échantillon limité ("&amp;'Analyse'!$C$12&amp;" trade(s) clôturé(s)) : vise au moins 30 trades avant de juger ta stratégie.",IF('Analyse'!$C$24&gt;0,"Espérance positive ("&amp;ROUND('Analyse'!$C$24,2)&amp;" R par trade) : ton système montre un avantage statistique. Protège-le en restant constant.","Espérance négative ("&amp;ROUND('Analyse'!$C$24,2)&amp;" R par trade) : repère ton setup le plus faible dans Analyse et réduis-le ou supprime-le."))</f>
        <v/>
      </c>
      <c r="D15" s="80" t="n"/>
      <c r="E15" s="80" t="n"/>
      <c r="F15" s="80" t="n"/>
      <c r="G15" s="80" t="n"/>
      <c r="H15" s="80" t="n"/>
      <c r="I15" s="80" t="n"/>
      <c r="J15" s="80" t="n"/>
      <c r="K15" s="80" t="n"/>
      <c r="L15" s="80" t="n"/>
      <c r="M15" s="80" t="n"/>
    </row>
    <row r="16" ht="30" customHeight="1">
      <c r="B16" s="81">
        <f>IF('Analyse'!$C$12&lt;10,"INFO",IF('Analyse'!$C$16*'Analyse'!$C$22-(1-'Analyse'!$C$16)&gt;0,"BON","À SURVEILLER"))</f>
        <v/>
      </c>
      <c r="C16" s="82">
        <f>IF('Analyse'!$C$12&lt;10,"Pas encore assez de trades pour analyser la relation entre taux de réussite et ratio gain / perte.","Taux de réussite de "&amp;ROUND('Analyse'!$C$16*100,0)&amp;" % avec un ratio gain / perte moyen de "&amp;ROUND('Analyse'!$C$22,2)&amp;" : "&amp;IF('Analyse'!$C$16*'Analyse'!$C$22-(1-'Analyse'!$C$16)&gt;0,"combinaison rentable.","combinaison à améliorer (viser un meilleur R:R ou plus de sélectivité)."))</f>
        <v/>
      </c>
      <c r="D16" s="82" t="n"/>
      <c r="E16" s="82" t="n"/>
      <c r="F16" s="82" t="n"/>
      <c r="G16" s="82" t="n"/>
      <c r="H16" s="82" t="n"/>
      <c r="I16" s="82" t="n"/>
      <c r="J16" s="82" t="n"/>
      <c r="K16" s="82" t="n"/>
      <c r="L16" s="82" t="n"/>
      <c r="M16" s="82" t="n"/>
    </row>
    <row r="17" ht="30" customHeight="1">
      <c r="B17" s="79">
        <f>IF('Analyse'!$C$39=0,"INFO",IF('Analyse'!$C$40&gt;=0.9,"BON",IF('Analyse'!$C$40&gt;=0.7,"À SURVEILLER","ALERTE")))</f>
        <v/>
      </c>
      <c r="C17" s="80">
        <f>IF('Analyse'!$C$39=0,"Renseigne la colonne « Respect du plan » du Journal pour mesurer ta discipline.","Plan respecté sur "&amp;ROUND('Analyse'!$C$40*100,0)&amp;" % des trades"&amp;IF('Analyse'!$C$40&gt;=0.9," : excellente discipline."," : vise plus de 90 %. Les trades hors plan sont la première source de perte."))</f>
        <v/>
      </c>
      <c r="D17" s="80" t="n"/>
      <c r="E17" s="80" t="n"/>
      <c r="F17" s="80" t="n"/>
      <c r="G17" s="80" t="n"/>
      <c r="H17" s="80" t="n"/>
      <c r="I17" s="80" t="n"/>
      <c r="J17" s="80" t="n"/>
      <c r="K17" s="80" t="n"/>
      <c r="L17" s="80" t="n"/>
      <c r="M17" s="80" t="n"/>
    </row>
    <row r="18" ht="30" customHeight="1">
      <c r="B18" s="81">
        <f>IF('Analyse'!$C$36=0,"INFO",IF('Analyse'!$C$38&gt;'Paramètres'!$C$16*1.1,"ALERTE","BON"))</f>
        <v/>
      </c>
      <c r="C18" s="82">
        <f>IF('Analyse'!$C$36=0,"Renseigne stop-loss et capital engagé pour suivre ton risque réel par trade.",IF('Analyse'!$C$38&gt;'Paramètres'!$C$16*1.1,"Risque maximal observé de "&amp;ROUND('Analyse'!$C$38*100,1)&amp;" % pour une limite de "&amp;ROUND('Paramètres'!$C$16*100,1)&amp;" % : réduis la taille de position.","Risque maîtrisé : "&amp;ROUND('Analyse'!$C$38*100,1)&amp;" % au maximum pour une limite de "&amp;ROUND('Paramètres'!$C$16*100,1)&amp;" %."))</f>
        <v/>
      </c>
      <c r="D18" s="82" t="n"/>
      <c r="E18" s="82" t="n"/>
      <c r="F18" s="82" t="n"/>
      <c r="G18" s="82" t="n"/>
      <c r="H18" s="82" t="n"/>
      <c r="I18" s="82" t="n"/>
      <c r="J18" s="82" t="n"/>
      <c r="K18" s="82" t="n"/>
      <c r="L18" s="82" t="n"/>
      <c r="M18" s="82" t="n"/>
    </row>
    <row r="19" ht="30" customHeight="1">
      <c r="B19" s="79">
        <f>IF('Analyse'!$C$12=0,"INFO",IF('Analyse'!$C$32&gt;'Paramètres'!$C$21,"ALERTE",IF('Analyse'!$C$33&gt;'Paramètres'!$C$21*0.66,"À SURVEILLER","BON")))</f>
        <v/>
      </c>
      <c r="C19" s="80">
        <f>IF('Analyse'!$C$12=0,"Aucune donnée de drawdown pour le moment.",IF('Analyse'!$C$32&gt;'Paramètres'!$C$21,"Drawdown maximal de "&amp;ROUND('Analyse'!$C$32*100,1)&amp;" % : au-dessus de ta limite de "&amp;ROUND('Paramètres'!$C$21*100,0)&amp;" %. Divise le risque par trade par deux jusqu'au retour au plus haut.","Drawdown maximal de "&amp;ROUND('Analyse'!$C$32*100,1)&amp;" % : dans ta limite de "&amp;ROUND('Paramètres'!$C$21*100,0)&amp;" %."&amp;IF('Analyse'!$C$33&gt;0.05," Tu es actuellement à -"&amp;ROUND('Analyse'!$C$33*100,1)&amp;" % de ton plus haut.","")))</f>
        <v/>
      </c>
      <c r="D19" s="80" t="n"/>
      <c r="E19" s="80" t="n"/>
      <c r="F19" s="80" t="n"/>
      <c r="G19" s="80" t="n"/>
      <c r="H19" s="80" t="n"/>
      <c r="I19" s="80" t="n"/>
      <c r="J19" s="80" t="n"/>
      <c r="K19" s="80" t="n"/>
      <c r="L19" s="80" t="n"/>
      <c r="M19" s="80" t="n"/>
    </row>
    <row r="20" ht="30" customHeight="1">
      <c r="B20" s="81">
        <f>IF('Analyse'!$C$12=0,"INFO",IF('Analyse'!$C$31&lt;=-3,"ALERTE",IF('Analyse'!$C$31&gt;=3,"À SURVEILLER","BON")))</f>
        <v/>
      </c>
      <c r="C20" s="82">
        <f>IF('Analyse'!$C$31&lt;=-3,"Série de "&amp;-'Analyse'!$C$31&amp;" pertes consécutives : applique ta règle de pause et réduis la taille avant le prochain trade.",IF('Analyse'!$C$31&gt;=3,"Série de "&amp;'Analyse'!$C$31&amp;" gains consécutifs : garde la même taille de risque, la confiance excessive coûte cher.","Pas de série extrême en cours : continue d'appliquer ton processus trade après trade."))</f>
        <v/>
      </c>
      <c r="D20" s="82" t="n"/>
      <c r="E20" s="82" t="n"/>
      <c r="F20" s="82" t="n"/>
      <c r="G20" s="82" t="n"/>
      <c r="H20" s="82" t="n"/>
      <c r="I20" s="82" t="n"/>
      <c r="J20" s="82" t="n"/>
      <c r="K20" s="82" t="n"/>
      <c r="L20" s="82" t="n"/>
      <c r="M20" s="82" t="n"/>
    </row>
    <row r="21" ht="30" customHeight="1">
      <c r="B21" s="79">
        <f>IF('Analyse'!$C$13&gt;'Paramètres'!$C$19,"ALERTE",IF('Analyse'!$C$13=0,"INFO","BON"))</f>
        <v/>
      </c>
      <c r="C21" s="80">
        <f>IF('Analyse'!$C$13&gt;'Paramètres'!$C$19,"Tu as "&amp;'Analyse'!$C$13&amp;" positions ouvertes pour une limite de "&amp;'Paramètres'!$C$19&amp;" : le risque cumulé est trop élevé.",IF('Analyse'!$C$13=0,"Aucune position ouverte : prépare tes prochaines opportunités dans la Watchlist.",'Analyse'!$C$13&amp;" position(s) ouverte(s) sur "&amp;'Paramètres'!$C$19&amp;" autorisée(s)."))</f>
        <v/>
      </c>
      <c r="D21" s="80" t="n"/>
      <c r="E21" s="80" t="n"/>
      <c r="F21" s="80" t="n"/>
      <c r="G21" s="80" t="n"/>
      <c r="H21" s="80" t="n"/>
      <c r="I21" s="80" t="n"/>
      <c r="J21" s="80" t="n"/>
      <c r="K21" s="80" t="n"/>
      <c r="L21" s="80" t="n"/>
      <c r="M21" s="80" t="n"/>
    </row>
    <row r="23" ht="24" customHeight="1">
      <c r="B23" s="19" t="inlineStr">
        <is>
          <t>POSITIONS OUVERTES</t>
        </is>
      </c>
      <c r="C23" s="20" t="n"/>
      <c r="D23" s="20" t="n"/>
      <c r="E23" s="20" t="n"/>
      <c r="F23" s="20" t="n"/>
      <c r="G23" s="20" t="n"/>
      <c r="H23" s="20" t="n"/>
      <c r="I23" s="20" t="n"/>
      <c r="J23" s="20" t="n"/>
      <c r="K23" s="20" t="n"/>
      <c r="L23" s="20" t="n"/>
      <c r="M23" s="20" t="n"/>
    </row>
    <row r="24" ht="26" customHeight="1">
      <c r="B24" s="83" t="inlineStr">
        <is>
          <t>Actif</t>
        </is>
      </c>
      <c r="C24" s="83" t="inlineStr">
        <is>
          <t>Sens</t>
        </is>
      </c>
      <c r="D24" s="83" t="inlineStr">
        <is>
          <t>Setup</t>
        </is>
      </c>
      <c r="E24" s="83" t="inlineStr">
        <is>
          <t>Date d'entrée</t>
        </is>
      </c>
      <c r="F24" s="83" t="inlineStr">
        <is>
          <t>Prix d'entrée</t>
        </is>
      </c>
      <c r="G24" s="83" t="inlineStr">
        <is>
          <t>Stop</t>
        </is>
      </c>
      <c r="H24" s="83" t="inlineStr">
        <is>
          <t>Objectif</t>
        </is>
      </c>
      <c r="I24" s="83" t="inlineStr">
        <is>
          <t>Risque</t>
        </is>
      </c>
      <c r="J24" s="83" t="inlineStr">
        <is>
          <t>R:R prévu</t>
        </is>
      </c>
      <c r="K24" s="83" t="inlineStr">
        <is>
          <t>Jours ouverts</t>
        </is>
      </c>
      <c r="L24" s="83" t="inlineStr">
        <is>
          <t>Exposition</t>
        </is>
      </c>
      <c r="M24" s="83" t="inlineStr">
        <is>
          <t>Score /8</t>
        </is>
      </c>
    </row>
    <row r="25" ht="21" customHeight="1">
      <c r="B25" s="84">
        <f>IFERROR(INDEX('Journal'!$D$6:$D$505,MATCH(1,'Journal'!$AK$6:$AK$505,0))&amp;"","")</f>
        <v/>
      </c>
      <c r="C25" s="84">
        <f>IFERROR(INDEX('Journal'!$E$6:$E$505,MATCH(1,'Journal'!$AK$6:$AK$505,0))&amp;"","")</f>
        <v/>
      </c>
      <c r="D25" s="85">
        <f>IFERROR(INDEX('Journal'!$F$6:$F$505,MATCH(1,'Journal'!$AK$6:$AK$505,0))&amp;"","")</f>
        <v/>
      </c>
      <c r="E25" s="86">
        <f>IFERROR(INDEX('Journal'!$B$6:$B$505,MATCH(1,'Journal'!$AK$6:$AK$505,0)),"")</f>
        <v/>
      </c>
      <c r="F25" s="87">
        <f>IFERROR(INDEX('Journal'!$I$6:$I$505,MATCH(1,'Journal'!$AK$6:$AK$505,0)),"")</f>
        <v/>
      </c>
      <c r="G25" s="87">
        <f>IFERROR(INDEX('Journal'!$J$6:$J$505,MATCH(1,'Journal'!$AK$6:$AK$505,0)),"")</f>
        <v/>
      </c>
      <c r="H25" s="87">
        <f>IFERROR(INDEX('Journal'!$K$6:$K$505,MATCH(1,'Journal'!$AK$6:$AK$505,0)),"")</f>
        <v/>
      </c>
      <c r="I25" s="88">
        <f>IFERROR(INDEX('Journal'!$Z$6:$Z$505,MATCH(1,'Journal'!$AK$6:$AK$505,0)),"")</f>
        <v/>
      </c>
      <c r="J25" s="89">
        <f>IFERROR(INDEX('Journal'!$AB$6:$AB$505,MATCH(1,'Journal'!$AK$6:$AK$505,0)),"")</f>
        <v/>
      </c>
      <c r="K25" s="90">
        <f>IFERROR(TODAY()-INDEX('Journal'!$B$6:$B$505,MATCH(1,'Journal'!$AK$6:$AK$505,0)),"")</f>
        <v/>
      </c>
      <c r="L25" s="88">
        <f>IFERROR(INDEX('Journal'!$H$6:$H$505,MATCH(1,'Journal'!$AK$6:$AK$505,0)),"")</f>
        <v/>
      </c>
      <c r="M25" s="90">
        <f>IFERROR(INDEX('Journal'!$N$6:$N$505,MATCH(1,'Journal'!$AK$6:$AK$505,0)),"")</f>
        <v/>
      </c>
    </row>
    <row r="26" ht="21" customHeight="1">
      <c r="B26" s="91">
        <f>IFERROR(INDEX('Journal'!$D$6:$D$505,MATCH(2,'Journal'!$AK$6:$AK$505,0))&amp;"","")</f>
        <v/>
      </c>
      <c r="C26" s="91">
        <f>IFERROR(INDEX('Journal'!$E$6:$E$505,MATCH(2,'Journal'!$AK$6:$AK$505,0))&amp;"","")</f>
        <v/>
      </c>
      <c r="D26" s="92">
        <f>IFERROR(INDEX('Journal'!$F$6:$F$505,MATCH(2,'Journal'!$AK$6:$AK$505,0))&amp;"","")</f>
        <v/>
      </c>
      <c r="E26" s="93">
        <f>IFERROR(INDEX('Journal'!$B$6:$B$505,MATCH(2,'Journal'!$AK$6:$AK$505,0)),"")</f>
        <v/>
      </c>
      <c r="F26" s="94">
        <f>IFERROR(INDEX('Journal'!$I$6:$I$505,MATCH(2,'Journal'!$AK$6:$AK$505,0)),"")</f>
        <v/>
      </c>
      <c r="G26" s="94">
        <f>IFERROR(INDEX('Journal'!$J$6:$J$505,MATCH(2,'Journal'!$AK$6:$AK$505,0)),"")</f>
        <v/>
      </c>
      <c r="H26" s="94">
        <f>IFERROR(INDEX('Journal'!$K$6:$K$505,MATCH(2,'Journal'!$AK$6:$AK$505,0)),"")</f>
        <v/>
      </c>
      <c r="I26" s="95">
        <f>IFERROR(INDEX('Journal'!$Z$6:$Z$505,MATCH(2,'Journal'!$AK$6:$AK$505,0)),"")</f>
        <v/>
      </c>
      <c r="J26" s="96">
        <f>IFERROR(INDEX('Journal'!$AB$6:$AB$505,MATCH(2,'Journal'!$AK$6:$AK$505,0)),"")</f>
        <v/>
      </c>
      <c r="K26" s="97">
        <f>IFERROR(TODAY()-INDEX('Journal'!$B$6:$B$505,MATCH(2,'Journal'!$AK$6:$AK$505,0)),"")</f>
        <v/>
      </c>
      <c r="L26" s="95">
        <f>IFERROR(INDEX('Journal'!$H$6:$H$505,MATCH(2,'Journal'!$AK$6:$AK$505,0)),"")</f>
        <v/>
      </c>
      <c r="M26" s="97">
        <f>IFERROR(INDEX('Journal'!$N$6:$N$505,MATCH(2,'Journal'!$AK$6:$AK$505,0)),"")</f>
        <v/>
      </c>
    </row>
    <row r="27" ht="21" customHeight="1">
      <c r="B27" s="84">
        <f>IFERROR(INDEX('Journal'!$D$6:$D$505,MATCH(3,'Journal'!$AK$6:$AK$505,0))&amp;"","")</f>
        <v/>
      </c>
      <c r="C27" s="84">
        <f>IFERROR(INDEX('Journal'!$E$6:$E$505,MATCH(3,'Journal'!$AK$6:$AK$505,0))&amp;"","")</f>
        <v/>
      </c>
      <c r="D27" s="85">
        <f>IFERROR(INDEX('Journal'!$F$6:$F$505,MATCH(3,'Journal'!$AK$6:$AK$505,0))&amp;"","")</f>
        <v/>
      </c>
      <c r="E27" s="86">
        <f>IFERROR(INDEX('Journal'!$B$6:$B$505,MATCH(3,'Journal'!$AK$6:$AK$505,0)),"")</f>
        <v/>
      </c>
      <c r="F27" s="87">
        <f>IFERROR(INDEX('Journal'!$I$6:$I$505,MATCH(3,'Journal'!$AK$6:$AK$505,0)),"")</f>
        <v/>
      </c>
      <c r="G27" s="87">
        <f>IFERROR(INDEX('Journal'!$J$6:$J$505,MATCH(3,'Journal'!$AK$6:$AK$505,0)),"")</f>
        <v/>
      </c>
      <c r="H27" s="87">
        <f>IFERROR(INDEX('Journal'!$K$6:$K$505,MATCH(3,'Journal'!$AK$6:$AK$505,0)),"")</f>
        <v/>
      </c>
      <c r="I27" s="88">
        <f>IFERROR(INDEX('Journal'!$Z$6:$Z$505,MATCH(3,'Journal'!$AK$6:$AK$505,0)),"")</f>
        <v/>
      </c>
      <c r="J27" s="89">
        <f>IFERROR(INDEX('Journal'!$AB$6:$AB$505,MATCH(3,'Journal'!$AK$6:$AK$505,0)),"")</f>
        <v/>
      </c>
      <c r="K27" s="90">
        <f>IFERROR(TODAY()-INDEX('Journal'!$B$6:$B$505,MATCH(3,'Journal'!$AK$6:$AK$505,0)),"")</f>
        <v/>
      </c>
      <c r="L27" s="88">
        <f>IFERROR(INDEX('Journal'!$H$6:$H$505,MATCH(3,'Journal'!$AK$6:$AK$505,0)),"")</f>
        <v/>
      </c>
      <c r="M27" s="90">
        <f>IFERROR(INDEX('Journal'!$N$6:$N$505,MATCH(3,'Journal'!$AK$6:$AK$505,0)),"")</f>
        <v/>
      </c>
    </row>
    <row r="28" ht="21" customHeight="1">
      <c r="B28" s="91">
        <f>IFERROR(INDEX('Journal'!$D$6:$D$505,MATCH(4,'Journal'!$AK$6:$AK$505,0))&amp;"","")</f>
        <v/>
      </c>
      <c r="C28" s="91">
        <f>IFERROR(INDEX('Journal'!$E$6:$E$505,MATCH(4,'Journal'!$AK$6:$AK$505,0))&amp;"","")</f>
        <v/>
      </c>
      <c r="D28" s="92">
        <f>IFERROR(INDEX('Journal'!$F$6:$F$505,MATCH(4,'Journal'!$AK$6:$AK$505,0))&amp;"","")</f>
        <v/>
      </c>
      <c r="E28" s="93">
        <f>IFERROR(INDEX('Journal'!$B$6:$B$505,MATCH(4,'Journal'!$AK$6:$AK$505,0)),"")</f>
        <v/>
      </c>
      <c r="F28" s="94">
        <f>IFERROR(INDEX('Journal'!$I$6:$I$505,MATCH(4,'Journal'!$AK$6:$AK$505,0)),"")</f>
        <v/>
      </c>
      <c r="G28" s="94">
        <f>IFERROR(INDEX('Journal'!$J$6:$J$505,MATCH(4,'Journal'!$AK$6:$AK$505,0)),"")</f>
        <v/>
      </c>
      <c r="H28" s="94">
        <f>IFERROR(INDEX('Journal'!$K$6:$K$505,MATCH(4,'Journal'!$AK$6:$AK$505,0)),"")</f>
        <v/>
      </c>
      <c r="I28" s="95">
        <f>IFERROR(INDEX('Journal'!$Z$6:$Z$505,MATCH(4,'Journal'!$AK$6:$AK$505,0)),"")</f>
        <v/>
      </c>
      <c r="J28" s="96">
        <f>IFERROR(INDEX('Journal'!$AB$6:$AB$505,MATCH(4,'Journal'!$AK$6:$AK$505,0)),"")</f>
        <v/>
      </c>
      <c r="K28" s="97">
        <f>IFERROR(TODAY()-INDEX('Journal'!$B$6:$B$505,MATCH(4,'Journal'!$AK$6:$AK$505,0)),"")</f>
        <v/>
      </c>
      <c r="L28" s="95">
        <f>IFERROR(INDEX('Journal'!$H$6:$H$505,MATCH(4,'Journal'!$AK$6:$AK$505,0)),"")</f>
        <v/>
      </c>
      <c r="M28" s="97">
        <f>IFERROR(INDEX('Journal'!$N$6:$N$505,MATCH(4,'Journal'!$AK$6:$AK$505,0)),"")</f>
        <v/>
      </c>
    </row>
    <row r="29" ht="21" customHeight="1">
      <c r="B29" s="84">
        <f>IFERROR(INDEX('Journal'!$D$6:$D$505,MATCH(5,'Journal'!$AK$6:$AK$505,0))&amp;"","")</f>
        <v/>
      </c>
      <c r="C29" s="84">
        <f>IFERROR(INDEX('Journal'!$E$6:$E$505,MATCH(5,'Journal'!$AK$6:$AK$505,0))&amp;"","")</f>
        <v/>
      </c>
      <c r="D29" s="85">
        <f>IFERROR(INDEX('Journal'!$F$6:$F$505,MATCH(5,'Journal'!$AK$6:$AK$505,0))&amp;"","")</f>
        <v/>
      </c>
      <c r="E29" s="86">
        <f>IFERROR(INDEX('Journal'!$B$6:$B$505,MATCH(5,'Journal'!$AK$6:$AK$505,0)),"")</f>
        <v/>
      </c>
      <c r="F29" s="87">
        <f>IFERROR(INDEX('Journal'!$I$6:$I$505,MATCH(5,'Journal'!$AK$6:$AK$505,0)),"")</f>
        <v/>
      </c>
      <c r="G29" s="87">
        <f>IFERROR(INDEX('Journal'!$J$6:$J$505,MATCH(5,'Journal'!$AK$6:$AK$505,0)),"")</f>
        <v/>
      </c>
      <c r="H29" s="87">
        <f>IFERROR(INDEX('Journal'!$K$6:$K$505,MATCH(5,'Journal'!$AK$6:$AK$505,0)),"")</f>
        <v/>
      </c>
      <c r="I29" s="88">
        <f>IFERROR(INDEX('Journal'!$Z$6:$Z$505,MATCH(5,'Journal'!$AK$6:$AK$505,0)),"")</f>
        <v/>
      </c>
      <c r="J29" s="89">
        <f>IFERROR(INDEX('Journal'!$AB$6:$AB$505,MATCH(5,'Journal'!$AK$6:$AK$505,0)),"")</f>
        <v/>
      </c>
      <c r="K29" s="90">
        <f>IFERROR(TODAY()-INDEX('Journal'!$B$6:$B$505,MATCH(5,'Journal'!$AK$6:$AK$505,0)),"")</f>
        <v/>
      </c>
      <c r="L29" s="88">
        <f>IFERROR(INDEX('Journal'!$H$6:$H$505,MATCH(5,'Journal'!$AK$6:$AK$505,0)),"")</f>
        <v/>
      </c>
      <c r="M29" s="90">
        <f>IFERROR(INDEX('Journal'!$N$6:$N$505,MATCH(5,'Journal'!$AK$6:$AK$505,0)),"")</f>
        <v/>
      </c>
    </row>
    <row r="30" ht="21" customHeight="1">
      <c r="B30" s="91">
        <f>IFERROR(INDEX('Journal'!$D$6:$D$505,MATCH(6,'Journal'!$AK$6:$AK$505,0))&amp;"","")</f>
        <v/>
      </c>
      <c r="C30" s="91">
        <f>IFERROR(INDEX('Journal'!$E$6:$E$505,MATCH(6,'Journal'!$AK$6:$AK$505,0))&amp;"","")</f>
        <v/>
      </c>
      <c r="D30" s="92">
        <f>IFERROR(INDEX('Journal'!$F$6:$F$505,MATCH(6,'Journal'!$AK$6:$AK$505,0))&amp;"","")</f>
        <v/>
      </c>
      <c r="E30" s="93">
        <f>IFERROR(INDEX('Journal'!$B$6:$B$505,MATCH(6,'Journal'!$AK$6:$AK$505,0)),"")</f>
        <v/>
      </c>
      <c r="F30" s="94">
        <f>IFERROR(INDEX('Journal'!$I$6:$I$505,MATCH(6,'Journal'!$AK$6:$AK$505,0)),"")</f>
        <v/>
      </c>
      <c r="G30" s="94">
        <f>IFERROR(INDEX('Journal'!$J$6:$J$505,MATCH(6,'Journal'!$AK$6:$AK$505,0)),"")</f>
        <v/>
      </c>
      <c r="H30" s="94">
        <f>IFERROR(INDEX('Journal'!$K$6:$K$505,MATCH(6,'Journal'!$AK$6:$AK$505,0)),"")</f>
        <v/>
      </c>
      <c r="I30" s="95">
        <f>IFERROR(INDEX('Journal'!$Z$6:$Z$505,MATCH(6,'Journal'!$AK$6:$AK$505,0)),"")</f>
        <v/>
      </c>
      <c r="J30" s="96">
        <f>IFERROR(INDEX('Journal'!$AB$6:$AB$505,MATCH(6,'Journal'!$AK$6:$AK$505,0)),"")</f>
        <v/>
      </c>
      <c r="K30" s="97">
        <f>IFERROR(TODAY()-INDEX('Journal'!$B$6:$B$505,MATCH(6,'Journal'!$AK$6:$AK$505,0)),"")</f>
        <v/>
      </c>
      <c r="L30" s="95">
        <f>IFERROR(INDEX('Journal'!$H$6:$H$505,MATCH(6,'Journal'!$AK$6:$AK$505,0)),"")</f>
        <v/>
      </c>
      <c r="M30" s="97">
        <f>IFERROR(INDEX('Journal'!$N$6:$N$505,MATCH(6,'Journal'!$AK$6:$AK$505,0)),"")</f>
        <v/>
      </c>
    </row>
    <row r="32" ht="24" customHeight="1">
      <c r="B32" s="14" t="inlineStr">
        <is>
          <t>COURBES</t>
        </is>
      </c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</row>
    <row r="65" ht="24" customHeight="1">
      <c r="B65" s="23" t="inlineStr">
        <is>
          <t>RÉPARTITION &amp; ANALYSE</t>
        </is>
      </c>
      <c r="C65" s="24" t="n"/>
      <c r="D65" s="24" t="n"/>
      <c r="E65" s="24" t="n"/>
      <c r="F65" s="24" t="n"/>
      <c r="G65" s="24" t="n"/>
      <c r="H65" s="24" t="n"/>
      <c r="I65" s="24" t="n"/>
      <c r="J65" s="24" t="n"/>
      <c r="K65" s="24" t="n"/>
      <c r="L65" s="24" t="n"/>
      <c r="M65" s="24" t="n"/>
    </row>
    <row r="81">
      <c r="J81" s="98">
        <f>ROUND('Données'!$V$11*100,0)&amp;" % atteint · reste "&amp;FIXED(MAX(0,'Paramètres'!$C$10-'Analyse'!$C$10),0)&amp;" à gagner"</f>
        <v/>
      </c>
      <c r="K81" s="98" t="n"/>
      <c r="L81" s="98" t="n"/>
      <c r="M81" s="98" t="n"/>
    </row>
  </sheetData>
  <mergeCells count="50">
    <mergeCell ref="L2:M2"/>
    <mergeCell ref="F11:G11"/>
    <mergeCell ref="L7:M7"/>
    <mergeCell ref="B7:C7"/>
    <mergeCell ref="D10:E10"/>
    <mergeCell ref="F10:G10"/>
    <mergeCell ref="H10:I10"/>
    <mergeCell ref="J10:K10"/>
    <mergeCell ref="C15:M15"/>
    <mergeCell ref="B23:M23"/>
    <mergeCell ref="B14:M14"/>
    <mergeCell ref="F6:G6"/>
    <mergeCell ref="F7:G7"/>
    <mergeCell ref="B12:C12"/>
    <mergeCell ref="D6:E6"/>
    <mergeCell ref="F12:G12"/>
    <mergeCell ref="L12:M12"/>
    <mergeCell ref="H6:I6"/>
    <mergeCell ref="C20:M20"/>
    <mergeCell ref="B11:C11"/>
    <mergeCell ref="J6:K6"/>
    <mergeCell ref="D11:E11"/>
    <mergeCell ref="C16:M16"/>
    <mergeCell ref="L8:M8"/>
    <mergeCell ref="B8:C8"/>
    <mergeCell ref="B65:M65"/>
    <mergeCell ref="J81:M81"/>
    <mergeCell ref="F8:G8"/>
    <mergeCell ref="H11:I11"/>
    <mergeCell ref="J11:K11"/>
    <mergeCell ref="D7:E7"/>
    <mergeCell ref="B5:M5"/>
    <mergeCell ref="H7:I7"/>
    <mergeCell ref="C21:M21"/>
    <mergeCell ref="L10:M10"/>
    <mergeCell ref="J7:K7"/>
    <mergeCell ref="B10:C10"/>
    <mergeCell ref="B32:M32"/>
    <mergeCell ref="D12:E12"/>
    <mergeCell ref="C17:M17"/>
    <mergeCell ref="D8:E8"/>
    <mergeCell ref="B6:C6"/>
    <mergeCell ref="H12:I12"/>
    <mergeCell ref="J12:K12"/>
    <mergeCell ref="L6:M6"/>
    <mergeCell ref="L11:M11"/>
    <mergeCell ref="C19:M19"/>
    <mergeCell ref="H8:I8"/>
    <mergeCell ref="J8:K8"/>
    <mergeCell ref="C18:M18"/>
  </mergeCells>
  <conditionalFormatting sqref="D7">
    <cfRule type="cellIs" priority="1" operator="lessThan" dxfId="0">
      <formula>0</formula>
    </cfRule>
    <cfRule type="cellIs" priority="2" operator="greaterThan" dxfId="1">
      <formula>0</formula>
    </cfRule>
  </conditionalFormatting>
  <conditionalFormatting sqref="F7">
    <cfRule type="cellIs" priority="3" operator="lessThan" dxfId="0">
      <formula>0</formula>
    </cfRule>
    <cfRule type="cellIs" priority="4" operator="greaterThan" dxfId="1">
      <formula>0</formula>
    </cfRule>
  </conditionalFormatting>
  <conditionalFormatting sqref="L7">
    <cfRule type="cellIs" priority="5" operator="lessThan" dxfId="0">
      <formula>0</formula>
    </cfRule>
    <cfRule type="cellIs" priority="6" operator="greaterThan" dxfId="1">
      <formula>0</formula>
    </cfRule>
  </conditionalFormatting>
  <conditionalFormatting sqref="F11">
    <cfRule type="cellIs" priority="7" operator="lessThan" dxfId="0">
      <formula>0</formula>
    </cfRule>
    <cfRule type="cellIs" priority="8" operator="greaterThan" dxfId="1">
      <formula>0</formula>
    </cfRule>
  </conditionalFormatting>
  <conditionalFormatting sqref="H11">
    <cfRule type="cellIs" priority="9" operator="lessThan" dxfId="0">
      <formula>0</formula>
    </cfRule>
    <cfRule type="cellIs" priority="10" operator="greaterThan" dxfId="1">
      <formula>0</formula>
    </cfRule>
  </conditionalFormatting>
  <conditionalFormatting sqref="B15:B21">
    <cfRule type="cellIs" priority="11" operator="equal" dxfId="2">
      <formula>"BON"</formula>
    </cfRule>
    <cfRule type="cellIs" priority="12" operator="equal" dxfId="3">
      <formula>"ALERTE"</formula>
    </cfRule>
    <cfRule type="cellIs" priority="13" operator="equal" dxfId="4">
      <formula>"À SURVEILLER"</formula>
    </cfRule>
    <cfRule type="cellIs" priority="14" operator="equal" dxfId="5">
      <formula>"INFO"</formula>
    </cfRule>
  </conditionalFormatting>
  <hyperlinks>
    <hyperlink ref="L2" location="'Accueil'!A1" display="Accueil"/>
  </hyperlinks>
  <printOptions horizontalCentered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A1:AK505"/>
  <sheetViews>
    <sheetView showGridLines="0" tabSelected="0"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2" customWidth="1" min="2" max="2"/>
    <col width="12" customWidth="1" min="3" max="3"/>
    <col width="14" customWidth="1" min="4" max="4"/>
    <col width="9" customWidth="1" min="5" max="5"/>
    <col width="24" customWidth="1" min="6" max="6"/>
    <col width="10" customWidth="1" min="7" max="7"/>
    <col width="13" customWidth="1" min="8" max="8"/>
    <col width="12" customWidth="1" min="9" max="9"/>
    <col width="12" customWidth="1" min="10" max="10"/>
    <col width="12" customWidth="1" min="11" max="11"/>
    <col width="12" customWidth="1" min="12" max="12"/>
    <col width="10" customWidth="1" min="13" max="13"/>
    <col width="8" customWidth="1" min="14" max="14"/>
    <col width="13" customWidth="1" min="15" max="15"/>
    <col width="10" customWidth="1" min="16" max="16"/>
    <col width="20" customWidth="1" min="17" max="17"/>
    <col width="34" customWidth="1" min="18" max="18"/>
    <col width="34" customWidth="1" min="19" max="19"/>
    <col width="22" customWidth="1" min="20" max="20"/>
    <col width="11" customWidth="1" min="21" max="21"/>
    <col width="8" customWidth="1" min="22" max="22"/>
    <col width="12" customWidth="1" min="23" max="23"/>
    <col width="12" customWidth="1" min="24" max="24"/>
    <col width="10" customWidth="1" min="25" max="25"/>
    <col width="12" customWidth="1" min="26" max="26"/>
    <col width="9" customWidth="1" min="27" max="27"/>
    <col width="9" customWidth="1" min="28" max="28"/>
    <col width="10" customWidth="1" min="29" max="29"/>
    <col hidden="1" width="12" customWidth="1" min="30" max="30"/>
    <col hidden="1" width="6" customWidth="1" min="31" max="31"/>
    <col width="14" customWidth="1" min="32" max="32"/>
    <col hidden="1" width="12" customWidth="1" min="33" max="33"/>
    <col width="10" customWidth="1" min="34" max="34"/>
    <col hidden="1" width="7" customWidth="1" min="35" max="35"/>
    <col hidden="1" width="9" customWidth="1" min="36" max="36"/>
    <col hidden="1" width="8" customWidth="1" min="37" max="37"/>
  </cols>
  <sheetData>
    <row r="1" ht="22" customHeight="1">
      <c r="A1" s="1" t="n"/>
      <c r="B1" s="2">
        <f>'Paramètres'!$C$7</f>
        <v/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</row>
    <row r="2" ht="30" customHeight="1">
      <c r="A2" s="1" t="n"/>
      <c r="B2" s="32" t="inlineStr">
        <is>
          <t>Journal de trading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  <c r="AA2" s="1" t="n"/>
      <c r="AB2" s="1" t="n"/>
      <c r="AC2" s="1" t="n"/>
      <c r="AD2" s="1" t="n"/>
      <c r="AE2" s="1" t="n"/>
      <c r="AF2" s="1" t="n"/>
      <c r="AG2" s="1" t="n"/>
      <c r="AH2" s="1" t="n"/>
      <c r="AI2" s="33" t="inlineStr">
        <is>
          <t>← Accueil</t>
        </is>
      </c>
      <c r="AJ2" s="1" t="n"/>
    </row>
    <row r="3" ht="18" customHeight="1">
      <c r="A3" s="1" t="n"/>
      <c r="B3" s="4" t="inlineStr">
        <is>
          <t>Une ligne = un trade. Remplis les cellules bleues ; les colonnes grises se calculent seules. Saisis les trades dans l'ordre chronologique.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  <c r="Z3" s="1" t="n"/>
      <c r="AA3" s="1" t="n"/>
      <c r="AB3" s="1" t="n"/>
      <c r="AC3" s="1" t="n"/>
      <c r="AD3" s="1" t="n"/>
      <c r="AE3" s="1" t="n"/>
      <c r="AF3" s="1" t="n"/>
      <c r="AG3" s="1" t="n"/>
      <c r="AH3" s="1" t="n"/>
      <c r="AI3" s="1" t="n"/>
      <c r="AJ3" s="1" t="n"/>
    </row>
    <row r="4" ht="18" customHeight="1">
      <c r="A4" s="99" t="inlineStr">
        <is>
          <t>SAISIE  ·  cellules bleues</t>
        </is>
      </c>
      <c r="B4" s="100" t="n"/>
      <c r="C4" s="100" t="n"/>
      <c r="D4" s="100" t="n"/>
      <c r="E4" s="100" t="n"/>
      <c r="F4" s="100" t="n"/>
      <c r="G4" s="100" t="n"/>
      <c r="H4" s="100" t="n"/>
      <c r="I4" s="100" t="n"/>
      <c r="J4" s="100" t="n"/>
      <c r="K4" s="100" t="n"/>
      <c r="L4" s="100" t="n"/>
      <c r="M4" s="100" t="n"/>
      <c r="N4" s="100" t="n"/>
      <c r="O4" s="100" t="n"/>
      <c r="P4" s="100" t="n"/>
      <c r="Q4" s="100" t="n"/>
      <c r="R4" s="100" t="n"/>
      <c r="S4" s="100" t="n"/>
      <c r="T4" s="100" t="n"/>
      <c r="U4" s="101" t="inlineStr">
        <is>
          <t>CALCULS AUTOMATIQUES  ·  ne pas modifier</t>
        </is>
      </c>
      <c r="V4" s="102" t="n"/>
      <c r="W4" s="102" t="n"/>
      <c r="X4" s="102" t="n"/>
      <c r="Y4" s="102" t="n"/>
      <c r="Z4" s="102" t="n"/>
      <c r="AA4" s="102" t="n"/>
      <c r="AB4" s="102" t="n"/>
      <c r="AC4" s="102" t="n"/>
      <c r="AD4" s="102" t="n"/>
      <c r="AE4" s="102" t="n"/>
      <c r="AF4" s="102" t="n"/>
      <c r="AG4" s="102" t="n"/>
      <c r="AH4" s="102" t="n"/>
      <c r="AI4" s="102" t="n"/>
      <c r="AJ4" s="102" t="n"/>
    </row>
    <row r="5" ht="40" customHeight="1">
      <c r="A5" s="83" t="inlineStr">
        <is>
          <t>N°</t>
        </is>
      </c>
      <c r="B5" s="83" t="inlineStr">
        <is>
          <t>Date d'entrée</t>
        </is>
      </c>
      <c r="C5" s="83" t="inlineStr">
        <is>
          <t>Date de sortie</t>
        </is>
      </c>
      <c r="D5" s="83" t="inlineStr">
        <is>
          <t>Actif</t>
        </is>
      </c>
      <c r="E5" s="83" t="inlineStr">
        <is>
          <t>Sens</t>
        </is>
      </c>
      <c r="F5" s="83" t="inlineStr">
        <is>
          <t>Setup</t>
        </is>
      </c>
      <c r="G5" s="83" t="inlineStr">
        <is>
          <t>Timeframe</t>
        </is>
      </c>
      <c r="H5" s="83" t="inlineStr">
        <is>
          <t>Capital engagé</t>
        </is>
      </c>
      <c r="I5" s="83" t="inlineStr">
        <is>
          <t>Prix d'entrée</t>
        </is>
      </c>
      <c r="J5" s="83" t="inlineStr">
        <is>
          <t>Stop-loss</t>
        </is>
      </c>
      <c r="K5" s="83" t="inlineStr">
        <is>
          <t>Objectif</t>
        </is>
      </c>
      <c r="L5" s="83" t="inlineStr">
        <is>
          <t>Prix de sortie</t>
        </is>
      </c>
      <c r="M5" s="83" t="inlineStr">
        <is>
          <t>Frais totaux</t>
        </is>
      </c>
      <c r="N5" s="83" t="inlineStr">
        <is>
          <t>Score /8</t>
        </is>
      </c>
      <c r="O5" s="83" t="inlineStr">
        <is>
          <t>Émotion</t>
        </is>
      </c>
      <c r="P5" s="83" t="inlineStr">
        <is>
          <t>Respect du plan</t>
        </is>
      </c>
      <c r="Q5" s="83" t="inlineStr">
        <is>
          <t>Erreur principale</t>
        </is>
      </c>
      <c r="R5" s="83" t="inlineStr">
        <is>
          <t>Raison d'entrée</t>
        </is>
      </c>
      <c r="S5" s="83" t="inlineStr">
        <is>
          <t>Leçon / notes</t>
        </is>
      </c>
      <c r="T5" s="83" t="inlineStr">
        <is>
          <t>Lien capture</t>
        </is>
      </c>
      <c r="U5" s="103" t="inlineStr">
        <is>
          <t>Quantité</t>
        </is>
      </c>
      <c r="V5" s="103" t="inlineStr">
        <is>
          <t>Durée (j)</t>
        </is>
      </c>
      <c r="W5" s="103" t="inlineStr">
        <is>
          <t>P&amp;L brut</t>
        </is>
      </c>
      <c r="X5" s="103" t="inlineStr">
        <is>
          <t>P&amp;L net</t>
        </is>
      </c>
      <c r="Y5" s="103" t="inlineStr">
        <is>
          <t>Rendement</t>
        </is>
      </c>
      <c r="Z5" s="103" t="inlineStr">
        <is>
          <t>Risque initial</t>
        </is>
      </c>
      <c r="AA5" s="103" t="inlineStr">
        <is>
          <t>Multiple R</t>
        </is>
      </c>
      <c r="AB5" s="103" t="inlineStr">
        <is>
          <t>R:R prévu</t>
        </is>
      </c>
      <c r="AC5" s="103" t="inlineStr">
        <is>
          <t>Statut</t>
        </is>
      </c>
      <c r="AD5" s="103" t="inlineStr">
        <is>
          <t>Date clôture</t>
        </is>
      </c>
      <c r="AE5" s="103" t="inlineStr">
        <is>
          <t>Jour</t>
        </is>
      </c>
      <c r="AF5" s="103" t="inlineStr">
        <is>
          <t>Capital cumulé</t>
        </is>
      </c>
      <c r="AG5" s="103" t="inlineStr">
        <is>
          <t>Pic de capital</t>
        </is>
      </c>
      <c r="AH5" s="103" t="inlineStr">
        <is>
          <t>Drawdown</t>
        </is>
      </c>
      <c r="AI5" s="103" t="inlineStr">
        <is>
          <t>Série</t>
        </is>
      </c>
      <c r="AJ5" s="103" t="inlineStr">
        <is>
          <t>Risque % capital</t>
        </is>
      </c>
      <c r="AK5" s="103" t="inlineStr">
        <is>
          <t>Rang ouvert</t>
        </is>
      </c>
    </row>
    <row r="6" ht="19" customHeight="1">
      <c r="A6" s="104">
        <f>IF(B6="","",ROW()-5)</f>
        <v/>
      </c>
      <c r="B6" s="61" t="n">
        <v>46148</v>
      </c>
      <c r="C6" s="61" t="n">
        <v>46158</v>
      </c>
      <c r="D6" s="105" t="inlineStr">
        <is>
          <t>DOGE/USDT</t>
        </is>
      </c>
      <c r="E6" s="49" t="inlineStr">
        <is>
          <t>Long</t>
        </is>
      </c>
      <c r="F6" s="105" t="inlineStr">
        <is>
          <t>Retournement (double top/bottom)</t>
        </is>
      </c>
      <c r="G6" s="49" t="inlineStr">
        <is>
          <t>4H</t>
        </is>
      </c>
      <c r="H6" s="106" t="n">
        <v>1710</v>
      </c>
      <c r="I6" s="107" t="n">
        <v>0.1756</v>
      </c>
      <c r="J6" s="107" t="n">
        <v>0.1674</v>
      </c>
      <c r="K6" s="107" t="n">
        <v>0.192</v>
      </c>
      <c r="L6" s="107" t="n">
        <v>0.1916</v>
      </c>
      <c r="M6" s="106" t="n">
        <v>3.42</v>
      </c>
      <c r="N6" s="62" t="n">
        <v>5</v>
      </c>
      <c r="O6" s="49" t="inlineStr">
        <is>
          <t>Impatient</t>
        </is>
      </c>
      <c r="P6" s="49" t="inlineStr">
        <is>
          <t>Non</t>
        </is>
      </c>
      <c r="Q6" s="105" t="inlineStr">
        <is>
          <t>Stop déplacé</t>
        </is>
      </c>
      <c r="R6" s="105" t="inlineStr">
        <is>
          <t>Double creux avec divergence RSI et cassure de la ligne de cou.</t>
        </is>
      </c>
      <c r="S6" s="105" t="inlineStr">
        <is>
          <t>Patience payante : attendre le retest a amélioré le R:R.</t>
        </is>
      </c>
      <c r="T6" s="105" t="n"/>
      <c r="U6" s="108">
        <f>IF(OR(H6="",I6="",I6=0),"",H6/I6)</f>
        <v/>
      </c>
      <c r="V6" s="109">
        <f>IF(OR(B6="",C6="",L6=""),"",MAX(0,C6-B6))</f>
        <v/>
      </c>
      <c r="W6" s="110">
        <f>IF(OR(L6="",U6=""),"",IF(E6="Short",(I6-L6)*U6,(L6-I6)*U6))</f>
        <v/>
      </c>
      <c r="X6" s="110">
        <f>IF(W6="","",W6-IF(M6="",0,M6))</f>
        <v/>
      </c>
      <c r="Y6" s="111">
        <f>IF(OR(X6="",H6="",H6=0),"",X6/H6)</f>
        <v/>
      </c>
      <c r="Z6" s="112">
        <f>IF(OR(I6="",J6="",U6=""),"",ABS(I6-J6)*U6)</f>
        <v/>
      </c>
      <c r="AA6" s="113">
        <f>IF(OR(X6="",Z6="",Z6=0),"",X6/Z6)</f>
        <v/>
      </c>
      <c r="AB6" s="114">
        <f>IF(OR(I6="",J6="",K6="",I6=J6),"",ABS(K6-I6)/ABS(I6-J6))</f>
        <v/>
      </c>
      <c r="AC6" s="51">
        <f>IF(OR(B6="",D6="",H6="",I6=""),"",IF(L6="","Ouvert",IF(X6&gt;0,"Gagné",IF(X6&lt;0,"Perdu","Neutre"))))</f>
        <v/>
      </c>
      <c r="AD6" s="115">
        <f>IF(X6="","",IF(C6="",B6,C6))</f>
        <v/>
      </c>
      <c r="AE6" s="109">
        <f>IF(B6="","",WEEKDAY(B6,2))</f>
        <v/>
      </c>
      <c r="AF6" s="112">
        <f>IF(X6="","",'Paramètres'!$C$9+SUM($X$6:X6))</f>
        <v/>
      </c>
      <c r="AG6" s="112">
        <f>IF(AF6="","",MAX('Paramètres'!$C$9,MAX($AF$6:AF6)))</f>
        <v/>
      </c>
      <c r="AH6" s="116">
        <f>IF(AF6="","",AF6/AG6-1)</f>
        <v/>
      </c>
      <c r="AI6" s="109">
        <f>IF(X6="","",IF(X6&gt;0,IF(N(AI5)&gt;0,N(AI5)+1,1),IF(X6&lt;0,IF(N(AI5)&lt;0,N(AI5)-1,-1),0)))</f>
        <v/>
      </c>
      <c r="AJ6" s="116">
        <f>IF(Z6="","",IFERROR(Z6/('Paramètres'!$C$9+SUM($X$5:X5)),""))</f>
        <v/>
      </c>
      <c r="AK6" s="109">
        <f>IF(AC6="Ouvert",COUNTIF($AC$6:AC6,"Ouvert"),"")</f>
        <v/>
      </c>
    </row>
    <row r="7" ht="19" customHeight="1">
      <c r="A7" s="104">
        <f>IF(B7="","",ROW()-5)</f>
        <v/>
      </c>
      <c r="B7" s="61" t="n">
        <v>46153</v>
      </c>
      <c r="C7" s="61" t="n">
        <v>46156</v>
      </c>
      <c r="D7" s="105" t="inlineStr">
        <is>
          <t>ADA/USDT</t>
        </is>
      </c>
      <c r="E7" s="49" t="inlineStr">
        <is>
          <t>Long</t>
        </is>
      </c>
      <c r="F7" s="105" t="inlineStr">
        <is>
          <t>Flag / Pennant</t>
        </is>
      </c>
      <c r="G7" s="49" t="inlineStr">
        <is>
          <t>4H</t>
        </is>
      </c>
      <c r="H7" s="106" t="n">
        <v>830</v>
      </c>
      <c r="I7" s="107" t="n">
        <v>0.7524999999999999</v>
      </c>
      <c r="J7" s="107" t="n">
        <v>0.7059</v>
      </c>
      <c r="K7" s="107" t="n">
        <v>0.8923</v>
      </c>
      <c r="L7" s="107" t="n">
        <v>0.8594000000000001</v>
      </c>
      <c r="M7" s="106" t="n">
        <v>1.66</v>
      </c>
      <c r="N7" s="62" t="n">
        <v>8</v>
      </c>
      <c r="O7" s="49" t="inlineStr">
        <is>
          <t>Confiant</t>
        </is>
      </c>
      <c r="P7" s="49" t="inlineStr">
        <is>
          <t>Oui</t>
        </is>
      </c>
      <c r="Q7" s="105" t="inlineStr">
        <is>
          <t>Sortie prématurée</t>
        </is>
      </c>
      <c r="R7" s="105" t="inlineStr">
        <is>
          <t>Flag après impulsion verticale, cassure avec volume.</t>
        </is>
      </c>
      <c r="S7" s="105" t="inlineStr">
        <is>
          <t>Sortie partielle à 1,5 R a sécurisé le trade.</t>
        </is>
      </c>
      <c r="T7" s="105" t="n"/>
      <c r="U7" s="108">
        <f>IF(OR(H7="",I7="",I7=0),"",H7/I7)</f>
        <v/>
      </c>
      <c r="V7" s="109">
        <f>IF(OR(B7="",C7="",L7=""),"",MAX(0,C7-B7))</f>
        <v/>
      </c>
      <c r="W7" s="110">
        <f>IF(OR(L7="",U7=""),"",IF(E7="Short",(I7-L7)*U7,(L7-I7)*U7))</f>
        <v/>
      </c>
      <c r="X7" s="110">
        <f>IF(W7="","",W7-IF(M7="",0,M7))</f>
        <v/>
      </c>
      <c r="Y7" s="111">
        <f>IF(OR(X7="",H7="",H7=0),"",X7/H7)</f>
        <v/>
      </c>
      <c r="Z7" s="112">
        <f>IF(OR(I7="",J7="",U7=""),"",ABS(I7-J7)*U7)</f>
        <v/>
      </c>
      <c r="AA7" s="113">
        <f>IF(OR(X7="",Z7="",Z7=0),"",X7/Z7)</f>
        <v/>
      </c>
      <c r="AB7" s="114">
        <f>IF(OR(I7="",J7="",K7="",I7=J7),"",ABS(K7-I7)/ABS(I7-J7))</f>
        <v/>
      </c>
      <c r="AC7" s="51">
        <f>IF(OR(B7="",D7="",H7="",I7=""),"",IF(L7="","Ouvert",IF(X7&gt;0,"Gagné",IF(X7&lt;0,"Perdu","Neutre"))))</f>
        <v/>
      </c>
      <c r="AD7" s="115">
        <f>IF(X7="","",IF(C7="",B7,C7))</f>
        <v/>
      </c>
      <c r="AE7" s="109">
        <f>IF(B7="","",WEEKDAY(B7,2))</f>
        <v/>
      </c>
      <c r="AF7" s="112">
        <f>IF(X7="","",'Paramètres'!$C$9+SUM($X$6:X7))</f>
        <v/>
      </c>
      <c r="AG7" s="112">
        <f>IF(AF7="","",MAX('Paramètres'!$C$9,MAX($AF$6:AF7)))</f>
        <v/>
      </c>
      <c r="AH7" s="116">
        <f>IF(AF7="","",AF7/AG7-1)</f>
        <v/>
      </c>
      <c r="AI7" s="109">
        <f>IF(X7="","",IF(X7&gt;0,IF(N(AI6)&gt;0,N(AI6)+1,1),IF(X7&lt;0,IF(N(AI6)&lt;0,N(AI6)-1,-1),0)))</f>
        <v/>
      </c>
      <c r="AJ7" s="116">
        <f>IF(Z7="","",IFERROR(Z7/('Paramètres'!$C$9+SUM($X$5:X6)),""))</f>
        <v/>
      </c>
      <c r="AK7" s="109">
        <f>IF(AC7="Ouvert",COUNTIF($AC$6:AC7,"Ouvert"),"")</f>
        <v/>
      </c>
    </row>
    <row r="8" ht="19" customHeight="1">
      <c r="A8" s="104">
        <f>IF(B8="","",ROW()-5)</f>
        <v/>
      </c>
      <c r="B8" s="61" t="n">
        <v>46155</v>
      </c>
      <c r="C8" s="61" t="n">
        <v>46163</v>
      </c>
      <c r="D8" s="105" t="inlineStr">
        <is>
          <t>DOT/USDT</t>
        </is>
      </c>
      <c r="E8" s="49" t="inlineStr">
        <is>
          <t>Long</t>
        </is>
      </c>
      <c r="F8" s="105" t="inlineStr">
        <is>
          <t>Divergence RSI / MACD</t>
        </is>
      </c>
      <c r="G8" s="49" t="inlineStr">
        <is>
          <t>4H</t>
        </is>
      </c>
      <c r="H8" s="106" t="n">
        <v>1180</v>
      </c>
      <c r="I8" s="107" t="n">
        <v>4.834</v>
      </c>
      <c r="J8" s="107" t="n">
        <v>4.618</v>
      </c>
      <c r="K8" s="107" t="n">
        <v>5.158</v>
      </c>
      <c r="L8" s="107" t="n">
        <v>5.133</v>
      </c>
      <c r="M8" s="106" t="n">
        <v>2.36</v>
      </c>
      <c r="N8" s="62" t="n">
        <v>8</v>
      </c>
      <c r="O8" s="49" t="inlineStr">
        <is>
          <t>Calme</t>
        </is>
      </c>
      <c r="P8" s="49" t="inlineStr">
        <is>
          <t>Oui</t>
        </is>
      </c>
      <c r="Q8" s="105" t="inlineStr">
        <is>
          <t>Aucune</t>
        </is>
      </c>
      <c r="R8" s="105" t="inlineStr">
        <is>
          <t>Divergence baissière sur résistance majeure 1D.</t>
        </is>
      </c>
      <c r="S8" s="105" t="inlineStr">
        <is>
          <t>Patience payante : attendre le retest a amélioré le R:R.</t>
        </is>
      </c>
      <c r="T8" s="105" t="n"/>
      <c r="U8" s="108">
        <f>IF(OR(H8="",I8="",I8=0),"",H8/I8)</f>
        <v/>
      </c>
      <c r="V8" s="109">
        <f>IF(OR(B8="",C8="",L8=""),"",MAX(0,C8-B8))</f>
        <v/>
      </c>
      <c r="W8" s="110">
        <f>IF(OR(L8="",U8=""),"",IF(E8="Short",(I8-L8)*U8,(L8-I8)*U8))</f>
        <v/>
      </c>
      <c r="X8" s="110">
        <f>IF(W8="","",W8-IF(M8="",0,M8))</f>
        <v/>
      </c>
      <c r="Y8" s="111">
        <f>IF(OR(X8="",H8="",H8=0),"",X8/H8)</f>
        <v/>
      </c>
      <c r="Z8" s="112">
        <f>IF(OR(I8="",J8="",U8=""),"",ABS(I8-J8)*U8)</f>
        <v/>
      </c>
      <c r="AA8" s="113">
        <f>IF(OR(X8="",Z8="",Z8=0),"",X8/Z8)</f>
        <v/>
      </c>
      <c r="AB8" s="114">
        <f>IF(OR(I8="",J8="",K8="",I8=J8),"",ABS(K8-I8)/ABS(I8-J8))</f>
        <v/>
      </c>
      <c r="AC8" s="51">
        <f>IF(OR(B8="",D8="",H8="",I8=""),"",IF(L8="","Ouvert",IF(X8&gt;0,"Gagné",IF(X8&lt;0,"Perdu","Neutre"))))</f>
        <v/>
      </c>
      <c r="AD8" s="115">
        <f>IF(X8="","",IF(C8="",B8,C8))</f>
        <v/>
      </c>
      <c r="AE8" s="109">
        <f>IF(B8="","",WEEKDAY(B8,2))</f>
        <v/>
      </c>
      <c r="AF8" s="112">
        <f>IF(X8="","",'Paramètres'!$C$9+SUM($X$6:X8))</f>
        <v/>
      </c>
      <c r="AG8" s="112">
        <f>IF(AF8="","",MAX('Paramètres'!$C$9,MAX($AF$6:AF8)))</f>
        <v/>
      </c>
      <c r="AH8" s="116">
        <f>IF(AF8="","",AF8/AG8-1)</f>
        <v/>
      </c>
      <c r="AI8" s="109">
        <f>IF(X8="","",IF(X8&gt;0,IF(N(AI7)&gt;0,N(AI7)+1,1),IF(X8&lt;0,IF(N(AI7)&lt;0,N(AI7)-1,-1),0)))</f>
        <v/>
      </c>
      <c r="AJ8" s="116">
        <f>IF(Z8="","",IFERROR(Z8/('Paramètres'!$C$9+SUM($X$5:X7)),""))</f>
        <v/>
      </c>
      <c r="AK8" s="109">
        <f>IF(AC8="Ouvert",COUNTIF($AC$6:AC8,"Ouvert"),"")</f>
        <v/>
      </c>
    </row>
    <row r="9" ht="19" customHeight="1">
      <c r="A9" s="104">
        <f>IF(B9="","",ROW()-5)</f>
        <v/>
      </c>
      <c r="B9" s="61" t="n">
        <v>46160</v>
      </c>
      <c r="C9" s="61" t="n">
        <v>46166</v>
      </c>
      <c r="D9" s="105" t="inlineStr">
        <is>
          <t>NEAR/USDT</t>
        </is>
      </c>
      <c r="E9" s="49" t="inlineStr">
        <is>
          <t>Long</t>
        </is>
      </c>
      <c r="F9" s="105" t="inlineStr">
        <is>
          <t>Pullback / Retracement</t>
        </is>
      </c>
      <c r="G9" s="49" t="inlineStr">
        <is>
          <t>1D</t>
        </is>
      </c>
      <c r="H9" s="106" t="n">
        <v>1140</v>
      </c>
      <c r="I9" s="107" t="n">
        <v>3.522</v>
      </c>
      <c r="J9" s="107" t="n">
        <v>3.357</v>
      </c>
      <c r="K9" s="107" t="n">
        <v>3.769</v>
      </c>
      <c r="L9" s="107" t="n">
        <v>3.661</v>
      </c>
      <c r="M9" s="106" t="n">
        <v>2.28</v>
      </c>
      <c r="N9" s="62" t="n">
        <v>8</v>
      </c>
      <c r="O9" s="49" t="inlineStr">
        <is>
          <t>Calme</t>
        </is>
      </c>
      <c r="P9" s="49" t="inlineStr">
        <is>
          <t>Oui</t>
        </is>
      </c>
      <c r="Q9" s="105" t="inlineStr">
        <is>
          <t>Aucune</t>
        </is>
      </c>
      <c r="R9" s="105" t="inlineStr">
        <is>
          <t>Retour sur 61,8 % avec bougie de rejet.</t>
        </is>
      </c>
      <c r="S9" s="105" t="inlineStr">
        <is>
          <t>Exécution propre : stop et objectif respectés.</t>
        </is>
      </c>
      <c r="T9" s="105" t="n"/>
      <c r="U9" s="108">
        <f>IF(OR(H9="",I9="",I9=0),"",H9/I9)</f>
        <v/>
      </c>
      <c r="V9" s="109">
        <f>IF(OR(B9="",C9="",L9=""),"",MAX(0,C9-B9))</f>
        <v/>
      </c>
      <c r="W9" s="110">
        <f>IF(OR(L9="",U9=""),"",IF(E9="Short",(I9-L9)*U9,(L9-I9)*U9))</f>
        <v/>
      </c>
      <c r="X9" s="110">
        <f>IF(W9="","",W9-IF(M9="",0,M9))</f>
        <v/>
      </c>
      <c r="Y9" s="111">
        <f>IF(OR(X9="",H9="",H9=0),"",X9/H9)</f>
        <v/>
      </c>
      <c r="Z9" s="112">
        <f>IF(OR(I9="",J9="",U9=""),"",ABS(I9-J9)*U9)</f>
        <v/>
      </c>
      <c r="AA9" s="113">
        <f>IF(OR(X9="",Z9="",Z9=0),"",X9/Z9)</f>
        <v/>
      </c>
      <c r="AB9" s="114">
        <f>IF(OR(I9="",J9="",K9="",I9=J9),"",ABS(K9-I9)/ABS(I9-J9))</f>
        <v/>
      </c>
      <c r="AC9" s="51">
        <f>IF(OR(B9="",D9="",H9="",I9=""),"",IF(L9="","Ouvert",IF(X9&gt;0,"Gagné",IF(X9&lt;0,"Perdu","Neutre"))))</f>
        <v/>
      </c>
      <c r="AD9" s="115">
        <f>IF(X9="","",IF(C9="",B9,C9))</f>
        <v/>
      </c>
      <c r="AE9" s="109">
        <f>IF(B9="","",WEEKDAY(B9,2))</f>
        <v/>
      </c>
      <c r="AF9" s="112">
        <f>IF(X9="","",'Paramètres'!$C$9+SUM($X$6:X9))</f>
        <v/>
      </c>
      <c r="AG9" s="112">
        <f>IF(AF9="","",MAX('Paramètres'!$C$9,MAX($AF$6:AF9)))</f>
        <v/>
      </c>
      <c r="AH9" s="116">
        <f>IF(AF9="","",AF9/AG9-1)</f>
        <v/>
      </c>
      <c r="AI9" s="109">
        <f>IF(X9="","",IF(X9&gt;0,IF(N(AI8)&gt;0,N(AI8)+1,1),IF(X9&lt;0,IF(N(AI8)&lt;0,N(AI8)-1,-1),0)))</f>
        <v/>
      </c>
      <c r="AJ9" s="116">
        <f>IF(Z9="","",IFERROR(Z9/('Paramètres'!$C$9+SUM($X$5:X8)),""))</f>
        <v/>
      </c>
      <c r="AK9" s="109">
        <f>IF(AC9="Ouvert",COUNTIF($AC$6:AC9,"Ouvert"),"")</f>
        <v/>
      </c>
    </row>
    <row r="10" ht="19" customHeight="1">
      <c r="A10" s="104">
        <f>IF(B10="","",ROW()-5)</f>
        <v/>
      </c>
      <c r="B10" s="61" t="n">
        <v>46164</v>
      </c>
      <c r="C10" s="61" t="n">
        <v>46165</v>
      </c>
      <c r="D10" s="105" t="inlineStr">
        <is>
          <t>SOL/USDT</t>
        </is>
      </c>
      <c r="E10" s="49" t="inlineStr">
        <is>
          <t>Long</t>
        </is>
      </c>
      <c r="F10" s="105" t="inlineStr">
        <is>
          <t>Retest support-résistance</t>
        </is>
      </c>
      <c r="G10" s="49" t="inlineStr">
        <is>
          <t>1H</t>
        </is>
      </c>
      <c r="H10" s="106" t="n">
        <v>1150</v>
      </c>
      <c r="I10" s="107" t="n">
        <v>142.9</v>
      </c>
      <c r="J10" s="107" t="n">
        <v>136.2</v>
      </c>
      <c r="K10" s="107" t="n">
        <v>159.7</v>
      </c>
      <c r="L10" s="107" t="n">
        <v>136.2</v>
      </c>
      <c r="M10" s="106" t="n">
        <v>2.3</v>
      </c>
      <c r="N10" s="62" t="n">
        <v>7</v>
      </c>
      <c r="O10" s="49" t="inlineStr">
        <is>
          <t>Calme</t>
        </is>
      </c>
      <c r="P10" s="49" t="inlineStr">
        <is>
          <t>Oui</t>
        </is>
      </c>
      <c r="Q10" s="105" t="inlineStr">
        <is>
          <t>Aucune</t>
        </is>
      </c>
      <c r="R10" s="105" t="inlineStr">
        <is>
          <t>Rejet net sur le niveau flip 1D.</t>
        </is>
      </c>
      <c r="S10" s="105" t="inlineStr">
        <is>
          <t>Annonce macro ignorée, à vérifier dans le calendrier.</t>
        </is>
      </c>
      <c r="T10" s="105" t="n"/>
      <c r="U10" s="108">
        <f>IF(OR(H10="",I10="",I10=0),"",H10/I10)</f>
        <v/>
      </c>
      <c r="V10" s="109">
        <f>IF(OR(B10="",C10="",L10=""),"",MAX(0,C10-B10))</f>
        <v/>
      </c>
      <c r="W10" s="110">
        <f>IF(OR(L10="",U10=""),"",IF(E10="Short",(I10-L10)*U10,(L10-I10)*U10))</f>
        <v/>
      </c>
      <c r="X10" s="110">
        <f>IF(W10="","",W10-IF(M10="",0,M10))</f>
        <v/>
      </c>
      <c r="Y10" s="111">
        <f>IF(OR(X10="",H10="",H10=0),"",X10/H10)</f>
        <v/>
      </c>
      <c r="Z10" s="112">
        <f>IF(OR(I10="",J10="",U10=""),"",ABS(I10-J10)*U10)</f>
        <v/>
      </c>
      <c r="AA10" s="113">
        <f>IF(OR(X10="",Z10="",Z10=0),"",X10/Z10)</f>
        <v/>
      </c>
      <c r="AB10" s="114">
        <f>IF(OR(I10="",J10="",K10="",I10=J10),"",ABS(K10-I10)/ABS(I10-J10))</f>
        <v/>
      </c>
      <c r="AC10" s="51">
        <f>IF(OR(B10="",D10="",H10="",I10=""),"",IF(L10="","Ouvert",IF(X10&gt;0,"Gagné",IF(X10&lt;0,"Perdu","Neutre"))))</f>
        <v/>
      </c>
      <c r="AD10" s="115">
        <f>IF(X10="","",IF(C10="",B10,C10))</f>
        <v/>
      </c>
      <c r="AE10" s="109">
        <f>IF(B10="","",WEEKDAY(B10,2))</f>
        <v/>
      </c>
      <c r="AF10" s="112">
        <f>IF(X10="","",'Paramètres'!$C$9+SUM($X$6:X10))</f>
        <v/>
      </c>
      <c r="AG10" s="112">
        <f>IF(AF10="","",MAX('Paramètres'!$C$9,MAX($AF$6:AF10)))</f>
        <v/>
      </c>
      <c r="AH10" s="116">
        <f>IF(AF10="","",AF10/AG10-1)</f>
        <v/>
      </c>
      <c r="AI10" s="109">
        <f>IF(X10="","",IF(X10&gt;0,IF(N(AI9)&gt;0,N(AI9)+1,1),IF(X10&lt;0,IF(N(AI9)&lt;0,N(AI9)-1,-1),0)))</f>
        <v/>
      </c>
      <c r="AJ10" s="116">
        <f>IF(Z10="","",IFERROR(Z10/('Paramètres'!$C$9+SUM($X$5:X9)),""))</f>
        <v/>
      </c>
      <c r="AK10" s="109">
        <f>IF(AC10="Ouvert",COUNTIF($AC$6:AC10,"Ouvert"),"")</f>
        <v/>
      </c>
    </row>
    <row r="11" ht="19" customHeight="1">
      <c r="A11" s="104">
        <f>IF(B11="","",ROW()-5)</f>
        <v/>
      </c>
      <c r="B11" s="61" t="n">
        <v>46167</v>
      </c>
      <c r="C11" s="61" t="n">
        <v>46178</v>
      </c>
      <c r="D11" s="105" t="inlineStr">
        <is>
          <t>NEAR/USDT</t>
        </is>
      </c>
      <c r="E11" s="49" t="inlineStr">
        <is>
          <t>Long</t>
        </is>
      </c>
      <c r="F11" s="105" t="inlineStr">
        <is>
          <t>Divergence RSI / MACD</t>
        </is>
      </c>
      <c r="G11" s="49" t="inlineStr">
        <is>
          <t>1D</t>
        </is>
      </c>
      <c r="H11" s="106" t="n">
        <v>1150</v>
      </c>
      <c r="I11" s="107" t="n">
        <v>2.968</v>
      </c>
      <c r="J11" s="107" t="n">
        <v>2.831</v>
      </c>
      <c r="K11" s="107" t="n">
        <v>3.379</v>
      </c>
      <c r="L11" s="107" t="n">
        <v>3.117</v>
      </c>
      <c r="M11" s="106" t="n">
        <v>2.3</v>
      </c>
      <c r="N11" s="62" t="n">
        <v>6</v>
      </c>
      <c r="O11" s="49" t="inlineStr">
        <is>
          <t>Calme</t>
        </is>
      </c>
      <c r="P11" s="49" t="inlineStr">
        <is>
          <t>Oui</t>
        </is>
      </c>
      <c r="Q11" s="105" t="inlineStr">
        <is>
          <t>Aucune</t>
        </is>
      </c>
      <c r="R11" s="105" t="inlineStr">
        <is>
          <t>Divergence baissière sur résistance majeure 1D.</t>
        </is>
      </c>
      <c r="S11" s="105" t="inlineStr">
        <is>
          <t>Exécution propre : stop et objectif respectés.</t>
        </is>
      </c>
      <c r="T11" s="105" t="n"/>
      <c r="U11" s="108">
        <f>IF(OR(H11="",I11="",I11=0),"",H11/I11)</f>
        <v/>
      </c>
      <c r="V11" s="109">
        <f>IF(OR(B11="",C11="",L11=""),"",MAX(0,C11-B11))</f>
        <v/>
      </c>
      <c r="W11" s="110">
        <f>IF(OR(L11="",U11=""),"",IF(E11="Short",(I11-L11)*U11,(L11-I11)*U11))</f>
        <v/>
      </c>
      <c r="X11" s="110">
        <f>IF(W11="","",W11-IF(M11="",0,M11))</f>
        <v/>
      </c>
      <c r="Y11" s="111">
        <f>IF(OR(X11="",H11="",H11=0),"",X11/H11)</f>
        <v/>
      </c>
      <c r="Z11" s="112">
        <f>IF(OR(I11="",J11="",U11=""),"",ABS(I11-J11)*U11)</f>
        <v/>
      </c>
      <c r="AA11" s="113">
        <f>IF(OR(X11="",Z11="",Z11=0),"",X11/Z11)</f>
        <v/>
      </c>
      <c r="AB11" s="114">
        <f>IF(OR(I11="",J11="",K11="",I11=J11),"",ABS(K11-I11)/ABS(I11-J11))</f>
        <v/>
      </c>
      <c r="AC11" s="51">
        <f>IF(OR(B11="",D11="",H11="",I11=""),"",IF(L11="","Ouvert",IF(X11&gt;0,"Gagné",IF(X11&lt;0,"Perdu","Neutre"))))</f>
        <v/>
      </c>
      <c r="AD11" s="115">
        <f>IF(X11="","",IF(C11="",B11,C11))</f>
        <v/>
      </c>
      <c r="AE11" s="109">
        <f>IF(B11="","",WEEKDAY(B11,2))</f>
        <v/>
      </c>
      <c r="AF11" s="112">
        <f>IF(X11="","",'Paramètres'!$C$9+SUM($X$6:X11))</f>
        <v/>
      </c>
      <c r="AG11" s="112">
        <f>IF(AF11="","",MAX('Paramètres'!$C$9,MAX($AF$6:AF11)))</f>
        <v/>
      </c>
      <c r="AH11" s="116">
        <f>IF(AF11="","",AF11/AG11-1)</f>
        <v/>
      </c>
      <c r="AI11" s="109">
        <f>IF(X11="","",IF(X11&gt;0,IF(N(AI10)&gt;0,N(AI10)+1,1),IF(X11&lt;0,IF(N(AI10)&lt;0,N(AI10)-1,-1),0)))</f>
        <v/>
      </c>
      <c r="AJ11" s="116">
        <f>IF(Z11="","",IFERROR(Z11/('Paramètres'!$C$9+SUM($X$5:X10)),""))</f>
        <v/>
      </c>
      <c r="AK11" s="109">
        <f>IF(AC11="Ouvert",COUNTIF($AC$6:AC11,"Ouvert"),"")</f>
        <v/>
      </c>
    </row>
    <row r="12" ht="19" customHeight="1">
      <c r="A12" s="104">
        <f>IF(B12="","",ROW()-5)</f>
        <v/>
      </c>
      <c r="B12" s="61" t="n">
        <v>46170</v>
      </c>
      <c r="C12" s="61" t="n">
        <v>46182</v>
      </c>
      <c r="D12" s="105" t="inlineStr">
        <is>
          <t>BNB/USDT</t>
        </is>
      </c>
      <c r="E12" s="49" t="inlineStr">
        <is>
          <t>Long</t>
        </is>
      </c>
      <c r="F12" s="105" t="inlineStr">
        <is>
          <t>Retest support-résistance</t>
        </is>
      </c>
      <c r="G12" s="49" t="inlineStr">
        <is>
          <t>4H</t>
        </is>
      </c>
      <c r="H12" s="106" t="n">
        <v>1090</v>
      </c>
      <c r="I12" s="107" t="n">
        <v>685.4</v>
      </c>
      <c r="J12" s="107" t="n">
        <v>651.6</v>
      </c>
      <c r="K12" s="107" t="n">
        <v>769.9</v>
      </c>
      <c r="L12" s="107" t="n">
        <v>735.4</v>
      </c>
      <c r="M12" s="106" t="n">
        <v>2.18</v>
      </c>
      <c r="N12" s="62" t="n">
        <v>7</v>
      </c>
      <c r="O12" s="49" t="inlineStr">
        <is>
          <t>Calme</t>
        </is>
      </c>
      <c r="P12" s="49" t="inlineStr">
        <is>
          <t>Oui</t>
        </is>
      </c>
      <c r="Q12" s="105" t="inlineStr">
        <is>
          <t>Aucune</t>
        </is>
      </c>
      <c r="R12" s="105" t="inlineStr">
        <is>
          <t>Rejet net sur le niveau flip 1D.</t>
        </is>
      </c>
      <c r="S12" s="105" t="inlineStr">
        <is>
          <t>Le contexte 1W était aligné, c'est le critère clé.</t>
        </is>
      </c>
      <c r="T12" s="105" t="n"/>
      <c r="U12" s="108">
        <f>IF(OR(H12="",I12="",I12=0),"",H12/I12)</f>
        <v/>
      </c>
      <c r="V12" s="109">
        <f>IF(OR(B12="",C12="",L12=""),"",MAX(0,C12-B12))</f>
        <v/>
      </c>
      <c r="W12" s="110">
        <f>IF(OR(L12="",U12=""),"",IF(E12="Short",(I12-L12)*U12,(L12-I12)*U12))</f>
        <v/>
      </c>
      <c r="X12" s="110">
        <f>IF(W12="","",W12-IF(M12="",0,M12))</f>
        <v/>
      </c>
      <c r="Y12" s="111">
        <f>IF(OR(X12="",H12="",H12=0),"",X12/H12)</f>
        <v/>
      </c>
      <c r="Z12" s="112">
        <f>IF(OR(I12="",J12="",U12=""),"",ABS(I12-J12)*U12)</f>
        <v/>
      </c>
      <c r="AA12" s="113">
        <f>IF(OR(X12="",Z12="",Z12=0),"",X12/Z12)</f>
        <v/>
      </c>
      <c r="AB12" s="114">
        <f>IF(OR(I12="",J12="",K12="",I12=J12),"",ABS(K12-I12)/ABS(I12-J12))</f>
        <v/>
      </c>
      <c r="AC12" s="51">
        <f>IF(OR(B12="",D12="",H12="",I12=""),"",IF(L12="","Ouvert",IF(X12&gt;0,"Gagné",IF(X12&lt;0,"Perdu","Neutre"))))</f>
        <v/>
      </c>
      <c r="AD12" s="115">
        <f>IF(X12="","",IF(C12="",B12,C12))</f>
        <v/>
      </c>
      <c r="AE12" s="109">
        <f>IF(B12="","",WEEKDAY(B12,2))</f>
        <v/>
      </c>
      <c r="AF12" s="112">
        <f>IF(X12="","",'Paramètres'!$C$9+SUM($X$6:X12))</f>
        <v/>
      </c>
      <c r="AG12" s="112">
        <f>IF(AF12="","",MAX('Paramètres'!$C$9,MAX($AF$6:AF12)))</f>
        <v/>
      </c>
      <c r="AH12" s="116">
        <f>IF(AF12="","",AF12/AG12-1)</f>
        <v/>
      </c>
      <c r="AI12" s="109">
        <f>IF(X12="","",IF(X12&gt;0,IF(N(AI11)&gt;0,N(AI11)+1,1),IF(X12&lt;0,IF(N(AI11)&lt;0,N(AI11)-1,-1),0)))</f>
        <v/>
      </c>
      <c r="AJ12" s="116">
        <f>IF(Z12="","",IFERROR(Z12/('Paramètres'!$C$9+SUM($X$5:X11)),""))</f>
        <v/>
      </c>
      <c r="AK12" s="109">
        <f>IF(AC12="Ouvert",COUNTIF($AC$6:AC12,"Ouvert"),"")</f>
        <v/>
      </c>
    </row>
    <row r="13" ht="19" customHeight="1">
      <c r="A13" s="104">
        <f>IF(B13="","",ROW()-5)</f>
        <v/>
      </c>
      <c r="B13" s="61" t="n">
        <v>46175</v>
      </c>
      <c r="C13" s="61" t="n">
        <v>46182</v>
      </c>
      <c r="D13" s="105" t="inlineStr">
        <is>
          <t>DOT/USDT</t>
        </is>
      </c>
      <c r="E13" s="49" t="inlineStr">
        <is>
          <t>Long</t>
        </is>
      </c>
      <c r="F13" s="105" t="inlineStr">
        <is>
          <t>Breakout</t>
        </is>
      </c>
      <c r="G13" s="49" t="inlineStr">
        <is>
          <t>1D</t>
        </is>
      </c>
      <c r="H13" s="106" t="n">
        <v>1190</v>
      </c>
      <c r="I13" s="107" t="n">
        <v>5.168</v>
      </c>
      <c r="J13" s="107" t="n">
        <v>4.932</v>
      </c>
      <c r="K13" s="107" t="n">
        <v>5.758</v>
      </c>
      <c r="L13" s="107" t="n">
        <v>4.932</v>
      </c>
      <c r="M13" s="106" t="n">
        <v>2.38</v>
      </c>
      <c r="N13" s="62" t="n">
        <v>4</v>
      </c>
      <c r="O13" s="49" t="inlineStr">
        <is>
          <t>Impatient</t>
        </is>
      </c>
      <c r="P13" s="49" t="inlineStr">
        <is>
          <t>Oui</t>
        </is>
      </c>
      <c r="Q13" s="105" t="inlineStr">
        <is>
          <t>Aucune</t>
        </is>
      </c>
      <c r="R13" s="105" t="inlineStr">
        <is>
          <t>Cassure de la résistance hebdo avec volume en hausse.</t>
        </is>
      </c>
      <c r="S13" s="105" t="inlineStr">
        <is>
          <t>Setup moyen (score bas) : à éviter à l'avenir.</t>
        </is>
      </c>
      <c r="T13" s="105" t="n"/>
      <c r="U13" s="108">
        <f>IF(OR(H13="",I13="",I13=0),"",H13/I13)</f>
        <v/>
      </c>
      <c r="V13" s="109">
        <f>IF(OR(B13="",C13="",L13=""),"",MAX(0,C13-B13))</f>
        <v/>
      </c>
      <c r="W13" s="110">
        <f>IF(OR(L13="",U13=""),"",IF(E13="Short",(I13-L13)*U13,(L13-I13)*U13))</f>
        <v/>
      </c>
      <c r="X13" s="110">
        <f>IF(W13="","",W13-IF(M13="",0,M13))</f>
        <v/>
      </c>
      <c r="Y13" s="111">
        <f>IF(OR(X13="",H13="",H13=0),"",X13/H13)</f>
        <v/>
      </c>
      <c r="Z13" s="112">
        <f>IF(OR(I13="",J13="",U13=""),"",ABS(I13-J13)*U13)</f>
        <v/>
      </c>
      <c r="AA13" s="113">
        <f>IF(OR(X13="",Z13="",Z13=0),"",X13/Z13)</f>
        <v/>
      </c>
      <c r="AB13" s="114">
        <f>IF(OR(I13="",J13="",K13="",I13=J13),"",ABS(K13-I13)/ABS(I13-J13))</f>
        <v/>
      </c>
      <c r="AC13" s="51">
        <f>IF(OR(B13="",D13="",H13="",I13=""),"",IF(L13="","Ouvert",IF(X13&gt;0,"Gagné",IF(X13&lt;0,"Perdu","Neutre"))))</f>
        <v/>
      </c>
      <c r="AD13" s="115">
        <f>IF(X13="","",IF(C13="",B13,C13))</f>
        <v/>
      </c>
      <c r="AE13" s="109">
        <f>IF(B13="","",WEEKDAY(B13,2))</f>
        <v/>
      </c>
      <c r="AF13" s="112">
        <f>IF(X13="","",'Paramètres'!$C$9+SUM($X$6:X13))</f>
        <v/>
      </c>
      <c r="AG13" s="112">
        <f>IF(AF13="","",MAX('Paramètres'!$C$9,MAX($AF$6:AF13)))</f>
        <v/>
      </c>
      <c r="AH13" s="116">
        <f>IF(AF13="","",AF13/AG13-1)</f>
        <v/>
      </c>
      <c r="AI13" s="109">
        <f>IF(X13="","",IF(X13&gt;0,IF(N(AI12)&gt;0,N(AI12)+1,1),IF(X13&lt;0,IF(N(AI12)&lt;0,N(AI12)-1,-1),0)))</f>
        <v/>
      </c>
      <c r="AJ13" s="116">
        <f>IF(Z13="","",IFERROR(Z13/('Paramètres'!$C$9+SUM($X$5:X12)),""))</f>
        <v/>
      </c>
      <c r="AK13" s="109">
        <f>IF(AC13="Ouvert",COUNTIF($AC$6:AC13,"Ouvert"),"")</f>
        <v/>
      </c>
    </row>
    <row r="14" ht="19" customHeight="1">
      <c r="A14" s="104">
        <f>IF(B14="","",ROW()-5)</f>
        <v/>
      </c>
      <c r="B14" s="61" t="n">
        <v>46179</v>
      </c>
      <c r="C14" s="61" t="n">
        <v>46186</v>
      </c>
      <c r="D14" s="105" t="inlineStr">
        <is>
          <t>NEAR/USDT</t>
        </is>
      </c>
      <c r="E14" s="49" t="inlineStr">
        <is>
          <t>Long</t>
        </is>
      </c>
      <c r="F14" s="105" t="inlineStr">
        <is>
          <t>Continuation de tendance</t>
        </is>
      </c>
      <c r="G14" s="49" t="inlineStr">
        <is>
          <t>4H</t>
        </is>
      </c>
      <c r="H14" s="106" t="n">
        <v>1110</v>
      </c>
      <c r="I14" s="107" t="n">
        <v>3.797</v>
      </c>
      <c r="J14" s="107" t="n">
        <v>3.613</v>
      </c>
      <c r="K14" s="107" t="n">
        <v>4.165</v>
      </c>
      <c r="L14" s="107" t="n">
        <v>4.138</v>
      </c>
      <c r="M14" s="106" t="n">
        <v>2.22</v>
      </c>
      <c r="N14" s="62" t="n">
        <v>8</v>
      </c>
      <c r="O14" s="49" t="inlineStr">
        <is>
          <t>Calme</t>
        </is>
      </c>
      <c r="P14" s="49" t="inlineStr">
        <is>
          <t>Oui</t>
        </is>
      </c>
      <c r="Q14" s="105" t="inlineStr">
        <is>
          <t>Sortie prématurée</t>
        </is>
      </c>
      <c r="R14" s="105" t="inlineStr">
        <is>
          <t>Pullback sur la MM20 en tendance forte.</t>
        </is>
      </c>
      <c r="S14" s="105" t="inlineStr">
        <is>
          <t>Patience payante : attendre le retest a amélioré le R:R.</t>
        </is>
      </c>
      <c r="T14" s="105" t="n"/>
      <c r="U14" s="108">
        <f>IF(OR(H14="",I14="",I14=0),"",H14/I14)</f>
        <v/>
      </c>
      <c r="V14" s="109">
        <f>IF(OR(B14="",C14="",L14=""),"",MAX(0,C14-B14))</f>
        <v/>
      </c>
      <c r="W14" s="110">
        <f>IF(OR(L14="",U14=""),"",IF(E14="Short",(I14-L14)*U14,(L14-I14)*U14))</f>
        <v/>
      </c>
      <c r="X14" s="110">
        <f>IF(W14="","",W14-IF(M14="",0,M14))</f>
        <v/>
      </c>
      <c r="Y14" s="111">
        <f>IF(OR(X14="",H14="",H14=0),"",X14/H14)</f>
        <v/>
      </c>
      <c r="Z14" s="112">
        <f>IF(OR(I14="",J14="",U14=""),"",ABS(I14-J14)*U14)</f>
        <v/>
      </c>
      <c r="AA14" s="113">
        <f>IF(OR(X14="",Z14="",Z14=0),"",X14/Z14)</f>
        <v/>
      </c>
      <c r="AB14" s="114">
        <f>IF(OR(I14="",J14="",K14="",I14=J14),"",ABS(K14-I14)/ABS(I14-J14))</f>
        <v/>
      </c>
      <c r="AC14" s="51">
        <f>IF(OR(B14="",D14="",H14="",I14=""),"",IF(L14="","Ouvert",IF(X14&gt;0,"Gagné",IF(X14&lt;0,"Perdu","Neutre"))))</f>
        <v/>
      </c>
      <c r="AD14" s="115">
        <f>IF(X14="","",IF(C14="",B14,C14))</f>
        <v/>
      </c>
      <c r="AE14" s="109">
        <f>IF(B14="","",WEEKDAY(B14,2))</f>
        <v/>
      </c>
      <c r="AF14" s="112">
        <f>IF(X14="","",'Paramètres'!$C$9+SUM($X$6:X14))</f>
        <v/>
      </c>
      <c r="AG14" s="112">
        <f>IF(AF14="","",MAX('Paramètres'!$C$9,MAX($AF$6:AF14)))</f>
        <v/>
      </c>
      <c r="AH14" s="116">
        <f>IF(AF14="","",AF14/AG14-1)</f>
        <v/>
      </c>
      <c r="AI14" s="109">
        <f>IF(X14="","",IF(X14&gt;0,IF(N(AI13)&gt;0,N(AI13)+1,1),IF(X14&lt;0,IF(N(AI13)&lt;0,N(AI13)-1,-1),0)))</f>
        <v/>
      </c>
      <c r="AJ14" s="116">
        <f>IF(Z14="","",IFERROR(Z14/('Paramètres'!$C$9+SUM($X$5:X13)),""))</f>
        <v/>
      </c>
      <c r="AK14" s="109">
        <f>IF(AC14="Ouvert",COUNTIF($AC$6:AC14,"Ouvert"),"")</f>
        <v/>
      </c>
    </row>
    <row r="15" ht="19" customHeight="1">
      <c r="A15" s="104">
        <f>IF(B15="","",ROW()-5)</f>
        <v/>
      </c>
      <c r="B15" s="61" t="n">
        <v>46182</v>
      </c>
      <c r="C15" s="61" t="n">
        <v>46184</v>
      </c>
      <c r="D15" s="105" t="inlineStr">
        <is>
          <t>ADA/USDT</t>
        </is>
      </c>
      <c r="E15" s="49" t="inlineStr">
        <is>
          <t>Long</t>
        </is>
      </c>
      <c r="F15" s="105" t="inlineStr">
        <is>
          <t>Pullback / Retracement</t>
        </is>
      </c>
      <c r="G15" s="49" t="inlineStr">
        <is>
          <t>4H</t>
        </is>
      </c>
      <c r="H15" s="106" t="n">
        <v>1460</v>
      </c>
      <c r="I15" s="107" t="n">
        <v>0.76</v>
      </c>
      <c r="J15" s="107" t="n">
        <v>0.7313</v>
      </c>
      <c r="K15" s="107" t="n">
        <v>0.8174</v>
      </c>
      <c r="L15" s="107" t="n">
        <v>0.7313</v>
      </c>
      <c r="M15" s="106" t="n">
        <v>2.92</v>
      </c>
      <c r="N15" s="62" t="n">
        <v>6</v>
      </c>
      <c r="O15" s="49" t="inlineStr">
        <is>
          <t>Confiant</t>
        </is>
      </c>
      <c r="P15" s="49" t="inlineStr">
        <is>
          <t>Oui</t>
        </is>
      </c>
      <c r="Q15" s="105" t="inlineStr">
        <is>
          <t>Aucune</t>
        </is>
      </c>
      <c r="R15" s="105" t="inlineStr">
        <is>
          <t>Pullback sur support avec volume décroissant.</t>
        </is>
      </c>
      <c r="S15" s="105" t="inlineStr">
        <is>
          <t>Setup moyen (score bas) : à éviter à l'avenir.</t>
        </is>
      </c>
      <c r="T15" s="105" t="n"/>
      <c r="U15" s="108">
        <f>IF(OR(H15="",I15="",I15=0),"",H15/I15)</f>
        <v/>
      </c>
      <c r="V15" s="109">
        <f>IF(OR(B15="",C15="",L15=""),"",MAX(0,C15-B15))</f>
        <v/>
      </c>
      <c r="W15" s="110">
        <f>IF(OR(L15="",U15=""),"",IF(E15="Short",(I15-L15)*U15,(L15-I15)*U15))</f>
        <v/>
      </c>
      <c r="X15" s="110">
        <f>IF(W15="","",W15-IF(M15="",0,M15))</f>
        <v/>
      </c>
      <c r="Y15" s="111">
        <f>IF(OR(X15="",H15="",H15=0),"",X15/H15)</f>
        <v/>
      </c>
      <c r="Z15" s="112">
        <f>IF(OR(I15="",J15="",U15=""),"",ABS(I15-J15)*U15)</f>
        <v/>
      </c>
      <c r="AA15" s="113">
        <f>IF(OR(X15="",Z15="",Z15=0),"",X15/Z15)</f>
        <v/>
      </c>
      <c r="AB15" s="114">
        <f>IF(OR(I15="",J15="",K15="",I15=J15),"",ABS(K15-I15)/ABS(I15-J15))</f>
        <v/>
      </c>
      <c r="AC15" s="51">
        <f>IF(OR(B15="",D15="",H15="",I15=""),"",IF(L15="","Ouvert",IF(X15&gt;0,"Gagné",IF(X15&lt;0,"Perdu","Neutre"))))</f>
        <v/>
      </c>
      <c r="AD15" s="115">
        <f>IF(X15="","",IF(C15="",B15,C15))</f>
        <v/>
      </c>
      <c r="AE15" s="109">
        <f>IF(B15="","",WEEKDAY(B15,2))</f>
        <v/>
      </c>
      <c r="AF15" s="112">
        <f>IF(X15="","",'Paramètres'!$C$9+SUM($X$6:X15))</f>
        <v/>
      </c>
      <c r="AG15" s="112">
        <f>IF(AF15="","",MAX('Paramètres'!$C$9,MAX($AF$6:AF15)))</f>
        <v/>
      </c>
      <c r="AH15" s="116">
        <f>IF(AF15="","",AF15/AG15-1)</f>
        <v/>
      </c>
      <c r="AI15" s="109">
        <f>IF(X15="","",IF(X15&gt;0,IF(N(AI14)&gt;0,N(AI14)+1,1),IF(X15&lt;0,IF(N(AI14)&lt;0,N(AI14)-1,-1),0)))</f>
        <v/>
      </c>
      <c r="AJ15" s="116">
        <f>IF(Z15="","",IFERROR(Z15/('Paramètres'!$C$9+SUM($X$5:X14)),""))</f>
        <v/>
      </c>
      <c r="AK15" s="109">
        <f>IF(AC15="Ouvert",COUNTIF($AC$6:AC15,"Ouvert"),"")</f>
        <v/>
      </c>
    </row>
    <row r="16" ht="19" customHeight="1">
      <c r="A16" s="104">
        <f>IF(B16="","",ROW()-5)</f>
        <v/>
      </c>
      <c r="B16" s="61" t="n">
        <v>46188</v>
      </c>
      <c r="C16" s="61" t="n">
        <v>46192</v>
      </c>
      <c r="D16" s="105" t="inlineStr">
        <is>
          <t>NEAR/USDT</t>
        </is>
      </c>
      <c r="E16" s="49" t="inlineStr">
        <is>
          <t>Short</t>
        </is>
      </c>
      <c r="F16" s="105" t="inlineStr">
        <is>
          <t>Cassure de trendline</t>
        </is>
      </c>
      <c r="G16" s="49" t="inlineStr">
        <is>
          <t>1H</t>
        </is>
      </c>
      <c r="H16" s="106" t="n">
        <v>1020</v>
      </c>
      <c r="I16" s="107" t="n">
        <v>3.22</v>
      </c>
      <c r="J16" s="107" t="n">
        <v>3.392</v>
      </c>
      <c r="K16" s="107" t="n">
        <v>2.876</v>
      </c>
      <c r="L16" s="107" t="n">
        <v>3.392</v>
      </c>
      <c r="M16" s="106" t="n">
        <v>2.04</v>
      </c>
      <c r="N16" s="62" t="n">
        <v>5</v>
      </c>
      <c r="O16" s="49" t="inlineStr">
        <is>
          <t>Hésitant</t>
        </is>
      </c>
      <c r="P16" s="49" t="inlineStr">
        <is>
          <t>Oui</t>
        </is>
      </c>
      <c r="Q16" s="105" t="inlineStr">
        <is>
          <t>Aucune</t>
        </is>
      </c>
      <c r="R16" s="105" t="inlineStr">
        <is>
          <t>Cassure de trendline descendante avec retest.</t>
        </is>
      </c>
      <c r="S16" s="105" t="inlineStr">
        <is>
          <t>Setup moyen (score bas) : à éviter à l'avenir.</t>
        </is>
      </c>
      <c r="T16" s="105" t="n"/>
      <c r="U16" s="108">
        <f>IF(OR(H16="",I16="",I16=0),"",H16/I16)</f>
        <v/>
      </c>
      <c r="V16" s="109">
        <f>IF(OR(B16="",C16="",L16=""),"",MAX(0,C16-B16))</f>
        <v/>
      </c>
      <c r="W16" s="110">
        <f>IF(OR(L16="",U16=""),"",IF(E16="Short",(I16-L16)*U16,(L16-I16)*U16))</f>
        <v/>
      </c>
      <c r="X16" s="110">
        <f>IF(W16="","",W16-IF(M16="",0,M16))</f>
        <v/>
      </c>
      <c r="Y16" s="111">
        <f>IF(OR(X16="",H16="",H16=0),"",X16/H16)</f>
        <v/>
      </c>
      <c r="Z16" s="112">
        <f>IF(OR(I16="",J16="",U16=""),"",ABS(I16-J16)*U16)</f>
        <v/>
      </c>
      <c r="AA16" s="113">
        <f>IF(OR(X16="",Z16="",Z16=0),"",X16/Z16)</f>
        <v/>
      </c>
      <c r="AB16" s="114">
        <f>IF(OR(I16="",J16="",K16="",I16=J16),"",ABS(K16-I16)/ABS(I16-J16))</f>
        <v/>
      </c>
      <c r="AC16" s="51">
        <f>IF(OR(B16="",D16="",H16="",I16=""),"",IF(L16="","Ouvert",IF(X16&gt;0,"Gagné",IF(X16&lt;0,"Perdu","Neutre"))))</f>
        <v/>
      </c>
      <c r="AD16" s="115">
        <f>IF(X16="","",IF(C16="",B16,C16))</f>
        <v/>
      </c>
      <c r="AE16" s="109">
        <f>IF(B16="","",WEEKDAY(B16,2))</f>
        <v/>
      </c>
      <c r="AF16" s="112">
        <f>IF(X16="","",'Paramètres'!$C$9+SUM($X$6:X16))</f>
        <v/>
      </c>
      <c r="AG16" s="112">
        <f>IF(AF16="","",MAX('Paramètres'!$C$9,MAX($AF$6:AF16)))</f>
        <v/>
      </c>
      <c r="AH16" s="116">
        <f>IF(AF16="","",AF16/AG16-1)</f>
        <v/>
      </c>
      <c r="AI16" s="109">
        <f>IF(X16="","",IF(X16&gt;0,IF(N(AI15)&gt;0,N(AI15)+1,1),IF(X16&lt;0,IF(N(AI15)&lt;0,N(AI15)-1,-1),0)))</f>
        <v/>
      </c>
      <c r="AJ16" s="116">
        <f>IF(Z16="","",IFERROR(Z16/('Paramètres'!$C$9+SUM($X$5:X15)),""))</f>
        <v/>
      </c>
      <c r="AK16" s="109">
        <f>IF(AC16="Ouvert",COUNTIF($AC$6:AC16,"Ouvert"),"")</f>
        <v/>
      </c>
    </row>
    <row r="17" ht="19" customHeight="1">
      <c r="A17" s="104">
        <f>IF(B17="","",ROW()-5)</f>
        <v/>
      </c>
      <c r="B17" s="61" t="n">
        <v>46195</v>
      </c>
      <c r="C17" s="61" t="n">
        <v>46201</v>
      </c>
      <c r="D17" s="105" t="inlineStr">
        <is>
          <t>AVAX/USDT</t>
        </is>
      </c>
      <c r="E17" s="49" t="inlineStr">
        <is>
          <t>Short</t>
        </is>
      </c>
      <c r="F17" s="105" t="inlineStr">
        <is>
          <t>Breakout</t>
        </is>
      </c>
      <c r="G17" s="49" t="inlineStr">
        <is>
          <t>1D</t>
        </is>
      </c>
      <c r="H17" s="106" t="n">
        <v>830</v>
      </c>
      <c r="I17" s="107" t="n">
        <v>31.25</v>
      </c>
      <c r="J17" s="107" t="n">
        <v>33.27</v>
      </c>
      <c r="K17" s="107" t="n">
        <v>27.21</v>
      </c>
      <c r="L17" s="107" t="n">
        <v>28.34</v>
      </c>
      <c r="M17" s="106" t="n">
        <v>1.66</v>
      </c>
      <c r="N17" s="62" t="n">
        <v>5</v>
      </c>
      <c r="O17" s="49" t="inlineStr">
        <is>
          <t>Revanche</t>
        </is>
      </c>
      <c r="P17" s="49" t="inlineStr">
        <is>
          <t>Oui</t>
        </is>
      </c>
      <c r="Q17" s="105" t="inlineStr">
        <is>
          <t>Aucune</t>
        </is>
      </c>
      <c r="R17" s="105" t="inlineStr">
        <is>
          <t>Clôture 4H au-dessus du range avec retest propre.</t>
        </is>
      </c>
      <c r="S17" s="105" t="inlineStr">
        <is>
          <t>Patience payante : attendre le retest a amélioré le R:R.</t>
        </is>
      </c>
      <c r="T17" s="105" t="n"/>
      <c r="U17" s="108">
        <f>IF(OR(H17="",I17="",I17=0),"",H17/I17)</f>
        <v/>
      </c>
      <c r="V17" s="109">
        <f>IF(OR(B17="",C17="",L17=""),"",MAX(0,C17-B17))</f>
        <v/>
      </c>
      <c r="W17" s="110">
        <f>IF(OR(L17="",U17=""),"",IF(E17="Short",(I17-L17)*U17,(L17-I17)*U17))</f>
        <v/>
      </c>
      <c r="X17" s="110">
        <f>IF(W17="","",W17-IF(M17="",0,M17))</f>
        <v/>
      </c>
      <c r="Y17" s="111">
        <f>IF(OR(X17="",H17="",H17=0),"",X17/H17)</f>
        <v/>
      </c>
      <c r="Z17" s="112">
        <f>IF(OR(I17="",J17="",U17=""),"",ABS(I17-J17)*U17)</f>
        <v/>
      </c>
      <c r="AA17" s="113">
        <f>IF(OR(X17="",Z17="",Z17=0),"",X17/Z17)</f>
        <v/>
      </c>
      <c r="AB17" s="114">
        <f>IF(OR(I17="",J17="",K17="",I17=J17),"",ABS(K17-I17)/ABS(I17-J17))</f>
        <v/>
      </c>
      <c r="AC17" s="51">
        <f>IF(OR(B17="",D17="",H17="",I17=""),"",IF(L17="","Ouvert",IF(X17&gt;0,"Gagné",IF(X17&lt;0,"Perdu","Neutre"))))</f>
        <v/>
      </c>
      <c r="AD17" s="115">
        <f>IF(X17="","",IF(C17="",B17,C17))</f>
        <v/>
      </c>
      <c r="AE17" s="109">
        <f>IF(B17="","",WEEKDAY(B17,2))</f>
        <v/>
      </c>
      <c r="AF17" s="112">
        <f>IF(X17="","",'Paramètres'!$C$9+SUM($X$6:X17))</f>
        <v/>
      </c>
      <c r="AG17" s="112">
        <f>IF(AF17="","",MAX('Paramètres'!$C$9,MAX($AF$6:AF17)))</f>
        <v/>
      </c>
      <c r="AH17" s="116">
        <f>IF(AF17="","",AF17/AG17-1)</f>
        <v/>
      </c>
      <c r="AI17" s="109">
        <f>IF(X17="","",IF(X17&gt;0,IF(N(AI16)&gt;0,N(AI16)+1,1),IF(X17&lt;0,IF(N(AI16)&lt;0,N(AI16)-1,-1),0)))</f>
        <v/>
      </c>
      <c r="AJ17" s="116">
        <f>IF(Z17="","",IFERROR(Z17/('Paramètres'!$C$9+SUM($X$5:X16)),""))</f>
        <v/>
      </c>
      <c r="AK17" s="109">
        <f>IF(AC17="Ouvert",COUNTIF($AC$6:AC17,"Ouvert"),"")</f>
        <v/>
      </c>
    </row>
    <row r="18" ht="19" customHeight="1">
      <c r="A18" s="104">
        <f>IF(B18="","",ROW()-5)</f>
        <v/>
      </c>
      <c r="B18" s="61" t="n">
        <v>46197</v>
      </c>
      <c r="C18" s="61" t="n">
        <v>46205</v>
      </c>
      <c r="D18" s="105" t="inlineStr">
        <is>
          <t>BTC/USDT</t>
        </is>
      </c>
      <c r="E18" s="49" t="inlineStr">
        <is>
          <t>Long</t>
        </is>
      </c>
      <c r="F18" s="105" t="inlineStr">
        <is>
          <t>Retest support-résistance</t>
        </is>
      </c>
      <c r="G18" s="49" t="inlineStr">
        <is>
          <t>1D</t>
        </is>
      </c>
      <c r="H18" s="106" t="n">
        <v>1020</v>
      </c>
      <c r="I18" s="107" t="n">
        <v>95142</v>
      </c>
      <c r="J18" s="107" t="n">
        <v>90024</v>
      </c>
      <c r="K18" s="107" t="n">
        <v>105378</v>
      </c>
      <c r="L18" s="107" t="n">
        <v>90024</v>
      </c>
      <c r="M18" s="106" t="n">
        <v>2.04</v>
      </c>
      <c r="N18" s="62" t="n">
        <v>6</v>
      </c>
      <c r="O18" s="49" t="inlineStr">
        <is>
          <t>Confiant</t>
        </is>
      </c>
      <c r="P18" s="49" t="inlineStr">
        <is>
          <t>Oui</t>
        </is>
      </c>
      <c r="Q18" s="105" t="inlineStr">
        <is>
          <t>Aucune</t>
        </is>
      </c>
      <c r="R18" s="105" t="inlineStr">
        <is>
          <t>Rejet net sur le niveau flip 1D.</t>
        </is>
      </c>
      <c r="S18" s="105" t="inlineStr">
        <is>
          <t>Setup moyen (score bas) : à éviter à l'avenir.</t>
        </is>
      </c>
      <c r="T18" s="105" t="n"/>
      <c r="U18" s="108">
        <f>IF(OR(H18="",I18="",I18=0),"",H18/I18)</f>
        <v/>
      </c>
      <c r="V18" s="109">
        <f>IF(OR(B18="",C18="",L18=""),"",MAX(0,C18-B18))</f>
        <v/>
      </c>
      <c r="W18" s="110">
        <f>IF(OR(L18="",U18=""),"",IF(E18="Short",(I18-L18)*U18,(L18-I18)*U18))</f>
        <v/>
      </c>
      <c r="X18" s="110">
        <f>IF(W18="","",W18-IF(M18="",0,M18))</f>
        <v/>
      </c>
      <c r="Y18" s="111">
        <f>IF(OR(X18="",H18="",H18=0),"",X18/H18)</f>
        <v/>
      </c>
      <c r="Z18" s="112">
        <f>IF(OR(I18="",J18="",U18=""),"",ABS(I18-J18)*U18)</f>
        <v/>
      </c>
      <c r="AA18" s="113">
        <f>IF(OR(X18="",Z18="",Z18=0),"",X18/Z18)</f>
        <v/>
      </c>
      <c r="AB18" s="114">
        <f>IF(OR(I18="",J18="",K18="",I18=J18),"",ABS(K18-I18)/ABS(I18-J18))</f>
        <v/>
      </c>
      <c r="AC18" s="51">
        <f>IF(OR(B18="",D18="",H18="",I18=""),"",IF(L18="","Ouvert",IF(X18&gt;0,"Gagné",IF(X18&lt;0,"Perdu","Neutre"))))</f>
        <v/>
      </c>
      <c r="AD18" s="115">
        <f>IF(X18="","",IF(C18="",B18,C18))</f>
        <v/>
      </c>
      <c r="AE18" s="109">
        <f>IF(B18="","",WEEKDAY(B18,2))</f>
        <v/>
      </c>
      <c r="AF18" s="112">
        <f>IF(X18="","",'Paramètres'!$C$9+SUM($X$6:X18))</f>
        <v/>
      </c>
      <c r="AG18" s="112">
        <f>IF(AF18="","",MAX('Paramètres'!$C$9,MAX($AF$6:AF18)))</f>
        <v/>
      </c>
      <c r="AH18" s="116">
        <f>IF(AF18="","",AF18/AG18-1)</f>
        <v/>
      </c>
      <c r="AI18" s="109">
        <f>IF(X18="","",IF(X18&gt;0,IF(N(AI17)&gt;0,N(AI17)+1,1),IF(X18&lt;0,IF(N(AI17)&lt;0,N(AI17)-1,-1),0)))</f>
        <v/>
      </c>
      <c r="AJ18" s="116">
        <f>IF(Z18="","",IFERROR(Z18/('Paramètres'!$C$9+SUM($X$5:X17)),""))</f>
        <v/>
      </c>
      <c r="AK18" s="109">
        <f>IF(AC18="Ouvert",COUNTIF($AC$6:AC18,"Ouvert"),"")</f>
        <v/>
      </c>
    </row>
    <row r="19" ht="19" customHeight="1">
      <c r="A19" s="104">
        <f>IF(B19="","",ROW()-5)</f>
        <v/>
      </c>
      <c r="B19" s="61" t="n">
        <v>46202</v>
      </c>
      <c r="C19" s="61" t="n">
        <v>46206</v>
      </c>
      <c r="D19" s="105" t="inlineStr">
        <is>
          <t>BNB/USDT</t>
        </is>
      </c>
      <c r="E19" s="49" t="inlineStr">
        <is>
          <t>Short</t>
        </is>
      </c>
      <c r="F19" s="105" t="inlineStr">
        <is>
          <t>Range (rebond bas/haut)</t>
        </is>
      </c>
      <c r="G19" s="49" t="inlineStr">
        <is>
          <t>4H</t>
        </is>
      </c>
      <c r="H19" s="106" t="n">
        <v>1070</v>
      </c>
      <c r="I19" s="107" t="n">
        <v>590.1</v>
      </c>
      <c r="J19" s="107" t="n">
        <v>619.8</v>
      </c>
      <c r="K19" s="107" t="n">
        <v>515.9</v>
      </c>
      <c r="L19" s="107" t="n">
        <v>614.7</v>
      </c>
      <c r="M19" s="106" t="n">
        <v>2.14</v>
      </c>
      <c r="N19" s="62" t="n">
        <v>7</v>
      </c>
      <c r="O19" s="49" t="inlineStr">
        <is>
          <t>Calme</t>
        </is>
      </c>
      <c r="P19" s="49" t="inlineStr">
        <is>
          <t>Oui</t>
        </is>
      </c>
      <c r="Q19" s="105" t="inlineStr">
        <is>
          <t>Contre la tendance</t>
        </is>
      </c>
      <c r="R19" s="105" t="inlineStr">
        <is>
          <t>Rebond sur la borne basse du range 1D.</t>
        </is>
      </c>
      <c r="S19" s="105" t="inlineStr">
        <is>
          <t>Entrée trop précoce, j'aurais dû attendre la clôture.</t>
        </is>
      </c>
      <c r="T19" s="105" t="n"/>
      <c r="U19" s="108">
        <f>IF(OR(H19="",I19="",I19=0),"",H19/I19)</f>
        <v/>
      </c>
      <c r="V19" s="109">
        <f>IF(OR(B19="",C19="",L19=""),"",MAX(0,C19-B19))</f>
        <v/>
      </c>
      <c r="W19" s="110">
        <f>IF(OR(L19="",U19=""),"",IF(E19="Short",(I19-L19)*U19,(L19-I19)*U19))</f>
        <v/>
      </c>
      <c r="X19" s="110">
        <f>IF(W19="","",W19-IF(M19="",0,M19))</f>
        <v/>
      </c>
      <c r="Y19" s="111">
        <f>IF(OR(X19="",H19="",H19=0),"",X19/H19)</f>
        <v/>
      </c>
      <c r="Z19" s="112">
        <f>IF(OR(I19="",J19="",U19=""),"",ABS(I19-J19)*U19)</f>
        <v/>
      </c>
      <c r="AA19" s="113">
        <f>IF(OR(X19="",Z19="",Z19=0),"",X19/Z19)</f>
        <v/>
      </c>
      <c r="AB19" s="114">
        <f>IF(OR(I19="",J19="",K19="",I19=J19),"",ABS(K19-I19)/ABS(I19-J19))</f>
        <v/>
      </c>
      <c r="AC19" s="51">
        <f>IF(OR(B19="",D19="",H19="",I19=""),"",IF(L19="","Ouvert",IF(X19&gt;0,"Gagné",IF(X19&lt;0,"Perdu","Neutre"))))</f>
        <v/>
      </c>
      <c r="AD19" s="115">
        <f>IF(X19="","",IF(C19="",B19,C19))</f>
        <v/>
      </c>
      <c r="AE19" s="109">
        <f>IF(B19="","",WEEKDAY(B19,2))</f>
        <v/>
      </c>
      <c r="AF19" s="112">
        <f>IF(X19="","",'Paramètres'!$C$9+SUM($X$6:X19))</f>
        <v/>
      </c>
      <c r="AG19" s="112">
        <f>IF(AF19="","",MAX('Paramètres'!$C$9,MAX($AF$6:AF19)))</f>
        <v/>
      </c>
      <c r="AH19" s="116">
        <f>IF(AF19="","",AF19/AG19-1)</f>
        <v/>
      </c>
      <c r="AI19" s="109">
        <f>IF(X19="","",IF(X19&gt;0,IF(N(AI18)&gt;0,N(AI18)+1,1),IF(X19&lt;0,IF(N(AI18)&lt;0,N(AI18)-1,-1),0)))</f>
        <v/>
      </c>
      <c r="AJ19" s="116">
        <f>IF(Z19="","",IFERROR(Z19/('Paramètres'!$C$9+SUM($X$5:X18)),""))</f>
        <v/>
      </c>
      <c r="AK19" s="109">
        <f>IF(AC19="Ouvert",COUNTIF($AC$6:AC19,"Ouvert"),"")</f>
        <v/>
      </c>
    </row>
    <row r="20" ht="19" customHeight="1">
      <c r="A20" s="104">
        <f>IF(B20="","",ROW()-5)</f>
        <v/>
      </c>
      <c r="B20" s="61" t="n">
        <v>46207</v>
      </c>
      <c r="C20" s="61" t="n">
        <v>46214</v>
      </c>
      <c r="D20" s="105" t="inlineStr">
        <is>
          <t>SOL/USDT</t>
        </is>
      </c>
      <c r="E20" s="49" t="inlineStr">
        <is>
          <t>Long</t>
        </is>
      </c>
      <c r="F20" s="105" t="inlineStr">
        <is>
          <t>Retournement (double top/bottom)</t>
        </is>
      </c>
      <c r="G20" s="49" t="inlineStr">
        <is>
          <t>4H</t>
        </is>
      </c>
      <c r="H20" s="106" t="n">
        <v>1060</v>
      </c>
      <c r="I20" s="107" t="n">
        <v>161.9</v>
      </c>
      <c r="J20" s="107" t="n">
        <v>153.7</v>
      </c>
      <c r="K20" s="107" t="n">
        <v>178.3</v>
      </c>
      <c r="L20" s="107" t="n">
        <v>154.8</v>
      </c>
      <c r="M20" s="106" t="n">
        <v>2.12</v>
      </c>
      <c r="N20" s="62" t="n">
        <v>4</v>
      </c>
      <c r="O20" s="49" t="inlineStr">
        <is>
          <t>Hésitant</t>
        </is>
      </c>
      <c r="P20" s="49" t="inlineStr">
        <is>
          <t>Oui</t>
        </is>
      </c>
      <c r="Q20" s="105" t="inlineStr">
        <is>
          <t>Aucune</t>
        </is>
      </c>
      <c r="R20" s="105" t="inlineStr">
        <is>
          <t>Double creux avec divergence RSI et cassure de la ligne de cou.</t>
        </is>
      </c>
      <c r="S20" s="105" t="inlineStr">
        <is>
          <t>Stop touché, trade conforme au plan : perte normale.</t>
        </is>
      </c>
      <c r="T20" s="105" t="n"/>
      <c r="U20" s="108">
        <f>IF(OR(H20="",I20="",I20=0),"",H20/I20)</f>
        <v/>
      </c>
      <c r="V20" s="109">
        <f>IF(OR(B20="",C20="",L20=""),"",MAX(0,C20-B20))</f>
        <v/>
      </c>
      <c r="W20" s="110">
        <f>IF(OR(L20="",U20=""),"",IF(E20="Short",(I20-L20)*U20,(L20-I20)*U20))</f>
        <v/>
      </c>
      <c r="X20" s="110">
        <f>IF(W20="","",W20-IF(M20="",0,M20))</f>
        <v/>
      </c>
      <c r="Y20" s="111">
        <f>IF(OR(X20="",H20="",H20=0),"",X20/H20)</f>
        <v/>
      </c>
      <c r="Z20" s="112">
        <f>IF(OR(I20="",J20="",U20=""),"",ABS(I20-J20)*U20)</f>
        <v/>
      </c>
      <c r="AA20" s="113">
        <f>IF(OR(X20="",Z20="",Z20=0),"",X20/Z20)</f>
        <v/>
      </c>
      <c r="AB20" s="114">
        <f>IF(OR(I20="",J20="",K20="",I20=J20),"",ABS(K20-I20)/ABS(I20-J20))</f>
        <v/>
      </c>
      <c r="AC20" s="51">
        <f>IF(OR(B20="",D20="",H20="",I20=""),"",IF(L20="","Ouvert",IF(X20&gt;0,"Gagné",IF(X20&lt;0,"Perdu","Neutre"))))</f>
        <v/>
      </c>
      <c r="AD20" s="115">
        <f>IF(X20="","",IF(C20="",B20,C20))</f>
        <v/>
      </c>
      <c r="AE20" s="109">
        <f>IF(B20="","",WEEKDAY(B20,2))</f>
        <v/>
      </c>
      <c r="AF20" s="112">
        <f>IF(X20="","",'Paramètres'!$C$9+SUM($X$6:X20))</f>
        <v/>
      </c>
      <c r="AG20" s="112">
        <f>IF(AF20="","",MAX('Paramètres'!$C$9,MAX($AF$6:AF20)))</f>
        <v/>
      </c>
      <c r="AH20" s="116">
        <f>IF(AF20="","",AF20/AG20-1)</f>
        <v/>
      </c>
      <c r="AI20" s="109">
        <f>IF(X20="","",IF(X20&gt;0,IF(N(AI19)&gt;0,N(AI19)+1,1),IF(X20&lt;0,IF(N(AI19)&lt;0,N(AI19)-1,-1),0)))</f>
        <v/>
      </c>
      <c r="AJ20" s="116">
        <f>IF(Z20="","",IFERROR(Z20/('Paramètres'!$C$9+SUM($X$5:X19)),""))</f>
        <v/>
      </c>
      <c r="AK20" s="109">
        <f>IF(AC20="Ouvert",COUNTIF($AC$6:AC20,"Ouvert"),"")</f>
        <v/>
      </c>
    </row>
    <row r="21" ht="19" customHeight="1">
      <c r="A21" s="104">
        <f>IF(B21="","",ROW()-5)</f>
        <v/>
      </c>
      <c r="B21" s="61" t="n">
        <v>46210</v>
      </c>
      <c r="C21" s="61" t="n">
        <v>46211</v>
      </c>
      <c r="D21" s="105" t="inlineStr">
        <is>
          <t>ADA/USDT</t>
        </is>
      </c>
      <c r="E21" s="49" t="inlineStr">
        <is>
          <t>Long</t>
        </is>
      </c>
      <c r="F21" s="105" t="inlineStr">
        <is>
          <t>Breakout</t>
        </is>
      </c>
      <c r="G21" s="49" t="inlineStr">
        <is>
          <t>1D</t>
        </is>
      </c>
      <c r="H21" s="106" t="n">
        <v>940</v>
      </c>
      <c r="I21" s="107" t="n">
        <v>0.764</v>
      </c>
      <c r="J21" s="107" t="n">
        <v>0.721</v>
      </c>
      <c r="K21" s="107" t="n">
        <v>0.8285</v>
      </c>
      <c r="L21" s="107" t="n">
        <v>0.721</v>
      </c>
      <c r="M21" s="106" t="n">
        <v>1.88</v>
      </c>
      <c r="N21" s="62" t="n">
        <v>4</v>
      </c>
      <c r="O21" s="49" t="inlineStr">
        <is>
          <t>Impatient</t>
        </is>
      </c>
      <c r="P21" s="49" t="inlineStr">
        <is>
          <t>Oui</t>
        </is>
      </c>
      <c r="Q21" s="105" t="inlineStr">
        <is>
          <t>Entrée trop tôt</t>
        </is>
      </c>
      <c r="R21" s="105" t="inlineStr">
        <is>
          <t>Cassure de la résistance hebdo avec volume en hausse.</t>
        </is>
      </c>
      <c r="S21" s="105" t="inlineStr">
        <is>
          <t>Setup moyen (score bas) : à éviter à l'avenir.</t>
        </is>
      </c>
      <c r="T21" s="105" t="n"/>
      <c r="U21" s="108">
        <f>IF(OR(H21="",I21="",I21=0),"",H21/I21)</f>
        <v/>
      </c>
      <c r="V21" s="109">
        <f>IF(OR(B21="",C21="",L21=""),"",MAX(0,C21-B21))</f>
        <v/>
      </c>
      <c r="W21" s="110">
        <f>IF(OR(L21="",U21=""),"",IF(E21="Short",(I21-L21)*U21,(L21-I21)*U21))</f>
        <v/>
      </c>
      <c r="X21" s="110">
        <f>IF(W21="","",W21-IF(M21="",0,M21))</f>
        <v/>
      </c>
      <c r="Y21" s="111">
        <f>IF(OR(X21="",H21="",H21=0),"",X21/H21)</f>
        <v/>
      </c>
      <c r="Z21" s="112">
        <f>IF(OR(I21="",J21="",U21=""),"",ABS(I21-J21)*U21)</f>
        <v/>
      </c>
      <c r="AA21" s="113">
        <f>IF(OR(X21="",Z21="",Z21=0),"",X21/Z21)</f>
        <v/>
      </c>
      <c r="AB21" s="114">
        <f>IF(OR(I21="",J21="",K21="",I21=J21),"",ABS(K21-I21)/ABS(I21-J21))</f>
        <v/>
      </c>
      <c r="AC21" s="51">
        <f>IF(OR(B21="",D21="",H21="",I21=""),"",IF(L21="","Ouvert",IF(X21&gt;0,"Gagné",IF(X21&lt;0,"Perdu","Neutre"))))</f>
        <v/>
      </c>
      <c r="AD21" s="115">
        <f>IF(X21="","",IF(C21="",B21,C21))</f>
        <v/>
      </c>
      <c r="AE21" s="109">
        <f>IF(B21="","",WEEKDAY(B21,2))</f>
        <v/>
      </c>
      <c r="AF21" s="112">
        <f>IF(X21="","",'Paramètres'!$C$9+SUM($X$6:X21))</f>
        <v/>
      </c>
      <c r="AG21" s="112">
        <f>IF(AF21="","",MAX('Paramètres'!$C$9,MAX($AF$6:AF21)))</f>
        <v/>
      </c>
      <c r="AH21" s="116">
        <f>IF(AF21="","",AF21/AG21-1)</f>
        <v/>
      </c>
      <c r="AI21" s="109">
        <f>IF(X21="","",IF(X21&gt;0,IF(N(AI20)&gt;0,N(AI20)+1,1),IF(X21&lt;0,IF(N(AI20)&lt;0,N(AI20)-1,-1),0)))</f>
        <v/>
      </c>
      <c r="AJ21" s="116">
        <f>IF(Z21="","",IFERROR(Z21/('Paramètres'!$C$9+SUM($X$5:X20)),""))</f>
        <v/>
      </c>
      <c r="AK21" s="109">
        <f>IF(AC21="Ouvert",COUNTIF($AC$6:AC21,"Ouvert"),"")</f>
        <v/>
      </c>
    </row>
    <row r="22" ht="19" customHeight="1">
      <c r="A22" s="104">
        <f>IF(B22="","",ROW()-5)</f>
        <v/>
      </c>
      <c r="B22" s="61" t="n">
        <v>46215</v>
      </c>
      <c r="C22" s="61" t="n">
        <v>46227</v>
      </c>
      <c r="D22" s="105" t="inlineStr">
        <is>
          <t>DOT/USDT</t>
        </is>
      </c>
      <c r="E22" s="49" t="inlineStr">
        <is>
          <t>Long</t>
        </is>
      </c>
      <c r="F22" s="105" t="inlineStr">
        <is>
          <t>Flag / Pennant</t>
        </is>
      </c>
      <c r="G22" s="49" t="inlineStr">
        <is>
          <t>4H</t>
        </is>
      </c>
      <c r="H22" s="106" t="n">
        <v>1210</v>
      </c>
      <c r="I22" s="107" t="n">
        <v>4.645</v>
      </c>
      <c r="J22" s="107" t="n">
        <v>4.443</v>
      </c>
      <c r="K22" s="107" t="n">
        <v>4.948</v>
      </c>
      <c r="L22" s="107" t="n">
        <v>4.443</v>
      </c>
      <c r="M22" s="106" t="n">
        <v>2.42</v>
      </c>
      <c r="N22" s="62" t="n">
        <v>8</v>
      </c>
      <c r="O22" s="49" t="inlineStr">
        <is>
          <t>Calme</t>
        </is>
      </c>
      <c r="P22" s="49" t="inlineStr">
        <is>
          <t>Oui</t>
        </is>
      </c>
      <c r="Q22" s="105" t="inlineStr">
        <is>
          <t>Aucune</t>
        </is>
      </c>
      <c r="R22" s="105" t="inlineStr">
        <is>
          <t>Flag après impulsion verticale, cassure avec volume.</t>
        </is>
      </c>
      <c r="S22" s="105" t="inlineStr">
        <is>
          <t>Trop pressé après une série gagnante : rester constant.</t>
        </is>
      </c>
      <c r="T22" s="105" t="n"/>
      <c r="U22" s="108">
        <f>IF(OR(H22="",I22="",I22=0),"",H22/I22)</f>
        <v/>
      </c>
      <c r="V22" s="109">
        <f>IF(OR(B22="",C22="",L22=""),"",MAX(0,C22-B22))</f>
        <v/>
      </c>
      <c r="W22" s="110">
        <f>IF(OR(L22="",U22=""),"",IF(E22="Short",(I22-L22)*U22,(L22-I22)*U22))</f>
        <v/>
      </c>
      <c r="X22" s="110">
        <f>IF(W22="","",W22-IF(M22="",0,M22))</f>
        <v/>
      </c>
      <c r="Y22" s="111">
        <f>IF(OR(X22="",H22="",H22=0),"",X22/H22)</f>
        <v/>
      </c>
      <c r="Z22" s="112">
        <f>IF(OR(I22="",J22="",U22=""),"",ABS(I22-J22)*U22)</f>
        <v/>
      </c>
      <c r="AA22" s="113">
        <f>IF(OR(X22="",Z22="",Z22=0),"",X22/Z22)</f>
        <v/>
      </c>
      <c r="AB22" s="114">
        <f>IF(OR(I22="",J22="",K22="",I22=J22),"",ABS(K22-I22)/ABS(I22-J22))</f>
        <v/>
      </c>
      <c r="AC22" s="51">
        <f>IF(OR(B22="",D22="",H22="",I22=""),"",IF(L22="","Ouvert",IF(X22&gt;0,"Gagné",IF(X22&lt;0,"Perdu","Neutre"))))</f>
        <v/>
      </c>
      <c r="AD22" s="115">
        <f>IF(X22="","",IF(C22="",B22,C22))</f>
        <v/>
      </c>
      <c r="AE22" s="109">
        <f>IF(B22="","",WEEKDAY(B22,2))</f>
        <v/>
      </c>
      <c r="AF22" s="112">
        <f>IF(X22="","",'Paramètres'!$C$9+SUM($X$6:X22))</f>
        <v/>
      </c>
      <c r="AG22" s="112">
        <f>IF(AF22="","",MAX('Paramètres'!$C$9,MAX($AF$6:AF22)))</f>
        <v/>
      </c>
      <c r="AH22" s="116">
        <f>IF(AF22="","",AF22/AG22-1)</f>
        <v/>
      </c>
      <c r="AI22" s="109">
        <f>IF(X22="","",IF(X22&gt;0,IF(N(AI21)&gt;0,N(AI21)+1,1),IF(X22&lt;0,IF(N(AI21)&lt;0,N(AI21)-1,-1),0)))</f>
        <v/>
      </c>
      <c r="AJ22" s="116">
        <f>IF(Z22="","",IFERROR(Z22/('Paramètres'!$C$9+SUM($X$5:X21)),""))</f>
        <v/>
      </c>
      <c r="AK22" s="109">
        <f>IF(AC22="Ouvert",COUNTIF($AC$6:AC22,"Ouvert"),"")</f>
        <v/>
      </c>
    </row>
    <row r="23" ht="19" customHeight="1">
      <c r="A23" s="104">
        <f>IF(B23="","",ROW()-5)</f>
        <v/>
      </c>
      <c r="B23" s="61" t="n">
        <v>46219</v>
      </c>
      <c r="C23" s="61" t="n">
        <v>46230</v>
      </c>
      <c r="D23" s="105" t="inlineStr">
        <is>
          <t>XRP/USDT</t>
        </is>
      </c>
      <c r="E23" s="49" t="inlineStr">
        <is>
          <t>Long</t>
        </is>
      </c>
      <c r="F23" s="105" t="inlineStr">
        <is>
          <t>Flag / Pennant</t>
        </is>
      </c>
      <c r="G23" s="49" t="inlineStr">
        <is>
          <t>1D</t>
        </is>
      </c>
      <c r="H23" s="106" t="n">
        <v>1190</v>
      </c>
      <c r="I23" s="107" t="n">
        <v>2.404</v>
      </c>
      <c r="J23" s="107" t="n">
        <v>2.299</v>
      </c>
      <c r="K23" s="107" t="n">
        <v>2.561</v>
      </c>
      <c r="L23" s="107" t="n">
        <v>2.496</v>
      </c>
      <c r="M23" s="106" t="n">
        <v>2.38</v>
      </c>
      <c r="N23" s="62" t="n">
        <v>5</v>
      </c>
      <c r="O23" s="49" t="inlineStr">
        <is>
          <t>Impatient</t>
        </is>
      </c>
      <c r="P23" s="49" t="inlineStr">
        <is>
          <t>Oui</t>
        </is>
      </c>
      <c r="Q23" s="105" t="inlineStr">
        <is>
          <t>Aucune</t>
        </is>
      </c>
      <c r="R23" s="105" t="inlineStr">
        <is>
          <t>Flag après impulsion verticale, cassure avec volume.</t>
        </is>
      </c>
      <c r="S23" s="105" t="inlineStr">
        <is>
          <t>Exécution propre : stop et objectif respectés.</t>
        </is>
      </c>
      <c r="T23" s="105" t="n"/>
      <c r="U23" s="108">
        <f>IF(OR(H23="",I23="",I23=0),"",H23/I23)</f>
        <v/>
      </c>
      <c r="V23" s="109">
        <f>IF(OR(B23="",C23="",L23=""),"",MAX(0,C23-B23))</f>
        <v/>
      </c>
      <c r="W23" s="110">
        <f>IF(OR(L23="",U23=""),"",IF(E23="Short",(I23-L23)*U23,(L23-I23)*U23))</f>
        <v/>
      </c>
      <c r="X23" s="110">
        <f>IF(W23="","",W23-IF(M23="",0,M23))</f>
        <v/>
      </c>
      <c r="Y23" s="111">
        <f>IF(OR(X23="",H23="",H23=0),"",X23/H23)</f>
        <v/>
      </c>
      <c r="Z23" s="112">
        <f>IF(OR(I23="",J23="",U23=""),"",ABS(I23-J23)*U23)</f>
        <v/>
      </c>
      <c r="AA23" s="113">
        <f>IF(OR(X23="",Z23="",Z23=0),"",X23/Z23)</f>
        <v/>
      </c>
      <c r="AB23" s="114">
        <f>IF(OR(I23="",J23="",K23="",I23=J23),"",ABS(K23-I23)/ABS(I23-J23))</f>
        <v/>
      </c>
      <c r="AC23" s="51">
        <f>IF(OR(B23="",D23="",H23="",I23=""),"",IF(L23="","Ouvert",IF(X23&gt;0,"Gagné",IF(X23&lt;0,"Perdu","Neutre"))))</f>
        <v/>
      </c>
      <c r="AD23" s="115">
        <f>IF(X23="","",IF(C23="",B23,C23))</f>
        <v/>
      </c>
      <c r="AE23" s="109">
        <f>IF(B23="","",WEEKDAY(B23,2))</f>
        <v/>
      </c>
      <c r="AF23" s="112">
        <f>IF(X23="","",'Paramètres'!$C$9+SUM($X$6:X23))</f>
        <v/>
      </c>
      <c r="AG23" s="112">
        <f>IF(AF23="","",MAX('Paramètres'!$C$9,MAX($AF$6:AF23)))</f>
        <v/>
      </c>
      <c r="AH23" s="116">
        <f>IF(AF23="","",AF23/AG23-1)</f>
        <v/>
      </c>
      <c r="AI23" s="109">
        <f>IF(X23="","",IF(X23&gt;0,IF(N(AI22)&gt;0,N(AI22)+1,1),IF(X23&lt;0,IF(N(AI22)&lt;0,N(AI22)-1,-1),0)))</f>
        <v/>
      </c>
      <c r="AJ23" s="116">
        <f>IF(Z23="","",IFERROR(Z23/('Paramètres'!$C$9+SUM($X$5:X22)),""))</f>
        <v/>
      </c>
      <c r="AK23" s="109">
        <f>IF(AC23="Ouvert",COUNTIF($AC$6:AC23,"Ouvert"),"")</f>
        <v/>
      </c>
    </row>
    <row r="24" ht="19" customHeight="1">
      <c r="A24" s="104">
        <f>IF(B24="","",ROW()-5)</f>
        <v/>
      </c>
      <c r="B24" s="61" t="n">
        <v>46223</v>
      </c>
      <c r="C24" s="61" t="n">
        <v>46229</v>
      </c>
      <c r="D24" s="105" t="inlineStr">
        <is>
          <t>XRP/USDT</t>
        </is>
      </c>
      <c r="E24" s="49" t="inlineStr">
        <is>
          <t>Long</t>
        </is>
      </c>
      <c r="F24" s="105" t="inlineStr">
        <is>
          <t>Pullback / Retracement</t>
        </is>
      </c>
      <c r="G24" s="49" t="inlineStr">
        <is>
          <t>1D</t>
        </is>
      </c>
      <c r="H24" s="106" t="n">
        <v>1250</v>
      </c>
      <c r="I24" s="107" t="n">
        <v>2.19</v>
      </c>
      <c r="J24" s="107" t="n">
        <v>2.098</v>
      </c>
      <c r="K24" s="107" t="n">
        <v>2.374</v>
      </c>
      <c r="L24" s="107" t="n">
        <v>2.298</v>
      </c>
      <c r="M24" s="106" t="n">
        <v>2.5</v>
      </c>
      <c r="N24" s="62" t="n">
        <v>5</v>
      </c>
      <c r="O24" s="49" t="inlineStr">
        <is>
          <t>Revanche</t>
        </is>
      </c>
      <c r="P24" s="49" t="inlineStr">
        <is>
          <t>Oui</t>
        </is>
      </c>
      <c r="Q24" s="105" t="inlineStr">
        <is>
          <t>Aucune</t>
        </is>
      </c>
      <c r="R24" s="105" t="inlineStr">
        <is>
          <t>Pullback sur support avec volume décroissant.</t>
        </is>
      </c>
      <c r="S24" s="105" t="inlineStr">
        <is>
          <t>Le contexte 1W était aligné, c'est le critère clé.</t>
        </is>
      </c>
      <c r="T24" s="105" t="n"/>
      <c r="U24" s="108">
        <f>IF(OR(H24="",I24="",I24=0),"",H24/I24)</f>
        <v/>
      </c>
      <c r="V24" s="109">
        <f>IF(OR(B24="",C24="",L24=""),"",MAX(0,C24-B24))</f>
        <v/>
      </c>
      <c r="W24" s="110">
        <f>IF(OR(L24="",U24=""),"",IF(E24="Short",(I24-L24)*U24,(L24-I24)*U24))</f>
        <v/>
      </c>
      <c r="X24" s="110">
        <f>IF(W24="","",W24-IF(M24="",0,M24))</f>
        <v/>
      </c>
      <c r="Y24" s="111">
        <f>IF(OR(X24="",H24="",H24=0),"",X24/H24)</f>
        <v/>
      </c>
      <c r="Z24" s="112">
        <f>IF(OR(I24="",J24="",U24=""),"",ABS(I24-J24)*U24)</f>
        <v/>
      </c>
      <c r="AA24" s="113">
        <f>IF(OR(X24="",Z24="",Z24=0),"",X24/Z24)</f>
        <v/>
      </c>
      <c r="AB24" s="114">
        <f>IF(OR(I24="",J24="",K24="",I24=J24),"",ABS(K24-I24)/ABS(I24-J24))</f>
        <v/>
      </c>
      <c r="AC24" s="51">
        <f>IF(OR(B24="",D24="",H24="",I24=""),"",IF(L24="","Ouvert",IF(X24&gt;0,"Gagné",IF(X24&lt;0,"Perdu","Neutre"))))</f>
        <v/>
      </c>
      <c r="AD24" s="115">
        <f>IF(X24="","",IF(C24="",B24,C24))</f>
        <v/>
      </c>
      <c r="AE24" s="109">
        <f>IF(B24="","",WEEKDAY(B24,2))</f>
        <v/>
      </c>
      <c r="AF24" s="112">
        <f>IF(X24="","",'Paramètres'!$C$9+SUM($X$6:X24))</f>
        <v/>
      </c>
      <c r="AG24" s="112">
        <f>IF(AF24="","",MAX('Paramètres'!$C$9,MAX($AF$6:AF24)))</f>
        <v/>
      </c>
      <c r="AH24" s="116">
        <f>IF(AF24="","",AF24/AG24-1)</f>
        <v/>
      </c>
      <c r="AI24" s="109">
        <f>IF(X24="","",IF(X24&gt;0,IF(N(AI23)&gt;0,N(AI23)+1,1),IF(X24&lt;0,IF(N(AI23)&lt;0,N(AI23)-1,-1),0)))</f>
        <v/>
      </c>
      <c r="AJ24" s="116">
        <f>IF(Z24="","",IFERROR(Z24/('Paramètres'!$C$9+SUM($X$5:X23)),""))</f>
        <v/>
      </c>
      <c r="AK24" s="109">
        <f>IF(AC24="Ouvert",COUNTIF($AC$6:AC24,"Ouvert"),"")</f>
        <v/>
      </c>
    </row>
    <row r="25" ht="19" customHeight="1">
      <c r="A25" s="104">
        <f>IF(B25="","",ROW()-5)</f>
        <v/>
      </c>
      <c r="B25" s="61" t="n">
        <v>46225</v>
      </c>
      <c r="C25" s="61" t="n">
        <v>46234</v>
      </c>
      <c r="D25" s="105" t="inlineStr">
        <is>
          <t>BTC/USDT</t>
        </is>
      </c>
      <c r="E25" s="49" t="inlineStr">
        <is>
          <t>Long</t>
        </is>
      </c>
      <c r="F25" s="105" t="inlineStr">
        <is>
          <t>Continuation de tendance</t>
        </is>
      </c>
      <c r="G25" s="49" t="inlineStr">
        <is>
          <t>1H</t>
        </is>
      </c>
      <c r="H25" s="106" t="n">
        <v>820</v>
      </c>
      <c r="I25" s="107" t="n">
        <v>91949</v>
      </c>
      <c r="J25" s="107" t="n">
        <v>85992</v>
      </c>
      <c r="K25" s="107" t="n">
        <v>109820</v>
      </c>
      <c r="L25" s="107" t="n">
        <v>85992</v>
      </c>
      <c r="M25" s="106" t="n">
        <v>1.64</v>
      </c>
      <c r="N25" s="62" t="n">
        <v>8</v>
      </c>
      <c r="O25" s="49" t="inlineStr">
        <is>
          <t>Calme</t>
        </is>
      </c>
      <c r="P25" s="49" t="inlineStr">
        <is>
          <t>Oui</t>
        </is>
      </c>
      <c r="Q25" s="105" t="inlineStr">
        <is>
          <t>Contre la tendance</t>
        </is>
      </c>
      <c r="R25" s="105" t="inlineStr">
        <is>
          <t>Pullback sur la MM20 en tendance forte.</t>
        </is>
      </c>
      <c r="S25" s="105" t="inlineStr">
        <is>
          <t>Annonce macro ignorée, à vérifier dans le calendrier.</t>
        </is>
      </c>
      <c r="T25" s="105" t="n"/>
      <c r="U25" s="108">
        <f>IF(OR(H25="",I25="",I25=0),"",H25/I25)</f>
        <v/>
      </c>
      <c r="V25" s="109">
        <f>IF(OR(B25="",C25="",L25=""),"",MAX(0,C25-B25))</f>
        <v/>
      </c>
      <c r="W25" s="110">
        <f>IF(OR(L25="",U25=""),"",IF(E25="Short",(I25-L25)*U25,(L25-I25)*U25))</f>
        <v/>
      </c>
      <c r="X25" s="110">
        <f>IF(W25="","",W25-IF(M25="",0,M25))</f>
        <v/>
      </c>
      <c r="Y25" s="111">
        <f>IF(OR(X25="",H25="",H25=0),"",X25/H25)</f>
        <v/>
      </c>
      <c r="Z25" s="112">
        <f>IF(OR(I25="",J25="",U25=""),"",ABS(I25-J25)*U25)</f>
        <v/>
      </c>
      <c r="AA25" s="113">
        <f>IF(OR(X25="",Z25="",Z25=0),"",X25/Z25)</f>
        <v/>
      </c>
      <c r="AB25" s="114">
        <f>IF(OR(I25="",J25="",K25="",I25=J25),"",ABS(K25-I25)/ABS(I25-J25))</f>
        <v/>
      </c>
      <c r="AC25" s="51">
        <f>IF(OR(B25="",D25="",H25="",I25=""),"",IF(L25="","Ouvert",IF(X25&gt;0,"Gagné",IF(X25&lt;0,"Perdu","Neutre"))))</f>
        <v/>
      </c>
      <c r="AD25" s="115">
        <f>IF(X25="","",IF(C25="",B25,C25))</f>
        <v/>
      </c>
      <c r="AE25" s="109">
        <f>IF(B25="","",WEEKDAY(B25,2))</f>
        <v/>
      </c>
      <c r="AF25" s="112">
        <f>IF(X25="","",'Paramètres'!$C$9+SUM($X$6:X25))</f>
        <v/>
      </c>
      <c r="AG25" s="112">
        <f>IF(AF25="","",MAX('Paramètres'!$C$9,MAX($AF$6:AF25)))</f>
        <v/>
      </c>
      <c r="AH25" s="116">
        <f>IF(AF25="","",AF25/AG25-1)</f>
        <v/>
      </c>
      <c r="AI25" s="109">
        <f>IF(X25="","",IF(X25&gt;0,IF(N(AI24)&gt;0,N(AI24)+1,1),IF(X25&lt;0,IF(N(AI24)&lt;0,N(AI24)-1,-1),0)))</f>
        <v/>
      </c>
      <c r="AJ25" s="116">
        <f>IF(Z25="","",IFERROR(Z25/('Paramètres'!$C$9+SUM($X$5:X24)),""))</f>
        <v/>
      </c>
      <c r="AK25" s="109">
        <f>IF(AC25="Ouvert",COUNTIF($AC$6:AC25,"Ouvert"),"")</f>
        <v/>
      </c>
    </row>
    <row r="26" ht="19" customHeight="1">
      <c r="A26" s="104">
        <f>IF(B26="","",ROW()-5)</f>
        <v/>
      </c>
      <c r="B26" s="61" t="n">
        <v>46230</v>
      </c>
      <c r="C26" s="61" t="n">
        <v>46231</v>
      </c>
      <c r="D26" s="105" t="inlineStr">
        <is>
          <t>DOGE/USDT</t>
        </is>
      </c>
      <c r="E26" s="49" t="inlineStr">
        <is>
          <t>Long</t>
        </is>
      </c>
      <c r="F26" s="105" t="inlineStr">
        <is>
          <t>Breakout</t>
        </is>
      </c>
      <c r="G26" s="49" t="inlineStr">
        <is>
          <t>1D</t>
        </is>
      </c>
      <c r="H26" s="106" t="n">
        <v>1500</v>
      </c>
      <c r="I26" s="107" t="n">
        <v>0.1845</v>
      </c>
      <c r="J26" s="107" t="n">
        <v>0.178</v>
      </c>
      <c r="K26" s="107" t="n">
        <v>0.1975</v>
      </c>
      <c r="L26" s="107" t="n">
        <v>0.1794</v>
      </c>
      <c r="M26" s="106" t="n">
        <v>3</v>
      </c>
      <c r="N26" s="62" t="n">
        <v>4</v>
      </c>
      <c r="O26" s="49" t="inlineStr">
        <is>
          <t>FOMO</t>
        </is>
      </c>
      <c r="P26" s="49" t="inlineStr">
        <is>
          <t>Oui</t>
        </is>
      </c>
      <c r="Q26" s="105" t="inlineStr">
        <is>
          <t>Aucune</t>
        </is>
      </c>
      <c r="R26" s="105" t="inlineStr">
        <is>
          <t>Clôture 4H au-dessus du range avec retest propre.</t>
        </is>
      </c>
      <c r="S26" s="105" t="inlineStr">
        <is>
          <t>Setup moyen (score bas) : à éviter à l'avenir.</t>
        </is>
      </c>
      <c r="T26" s="105" t="n"/>
      <c r="U26" s="108">
        <f>IF(OR(H26="",I26="",I26=0),"",H26/I26)</f>
        <v/>
      </c>
      <c r="V26" s="109">
        <f>IF(OR(B26="",C26="",L26=""),"",MAX(0,C26-B26))</f>
        <v/>
      </c>
      <c r="W26" s="110">
        <f>IF(OR(L26="",U26=""),"",IF(E26="Short",(I26-L26)*U26,(L26-I26)*U26))</f>
        <v/>
      </c>
      <c r="X26" s="110">
        <f>IF(W26="","",W26-IF(M26="",0,M26))</f>
        <v/>
      </c>
      <c r="Y26" s="111">
        <f>IF(OR(X26="",H26="",H26=0),"",X26/H26)</f>
        <v/>
      </c>
      <c r="Z26" s="112">
        <f>IF(OR(I26="",J26="",U26=""),"",ABS(I26-J26)*U26)</f>
        <v/>
      </c>
      <c r="AA26" s="113">
        <f>IF(OR(X26="",Z26="",Z26=0),"",X26/Z26)</f>
        <v/>
      </c>
      <c r="AB26" s="114">
        <f>IF(OR(I26="",J26="",K26="",I26=J26),"",ABS(K26-I26)/ABS(I26-J26))</f>
        <v/>
      </c>
      <c r="AC26" s="51">
        <f>IF(OR(B26="",D26="",H26="",I26=""),"",IF(L26="","Ouvert",IF(X26&gt;0,"Gagné",IF(X26&lt;0,"Perdu","Neutre"))))</f>
        <v/>
      </c>
      <c r="AD26" s="115">
        <f>IF(X26="","",IF(C26="",B26,C26))</f>
        <v/>
      </c>
      <c r="AE26" s="109">
        <f>IF(B26="","",WEEKDAY(B26,2))</f>
        <v/>
      </c>
      <c r="AF26" s="112">
        <f>IF(X26="","",'Paramètres'!$C$9+SUM($X$6:X26))</f>
        <v/>
      </c>
      <c r="AG26" s="112">
        <f>IF(AF26="","",MAX('Paramètres'!$C$9,MAX($AF$6:AF26)))</f>
        <v/>
      </c>
      <c r="AH26" s="116">
        <f>IF(AF26="","",AF26/AG26-1)</f>
        <v/>
      </c>
      <c r="AI26" s="109">
        <f>IF(X26="","",IF(X26&gt;0,IF(N(AI25)&gt;0,N(AI25)+1,1),IF(X26&lt;0,IF(N(AI25)&lt;0,N(AI25)-1,-1),0)))</f>
        <v/>
      </c>
      <c r="AJ26" s="116">
        <f>IF(Z26="","",IFERROR(Z26/('Paramètres'!$C$9+SUM($X$5:X25)),""))</f>
        <v/>
      </c>
      <c r="AK26" s="109">
        <f>IF(AC26="Ouvert",COUNTIF($AC$6:AC26,"Ouvert"),"")</f>
        <v/>
      </c>
    </row>
    <row r="27" ht="19" customHeight="1">
      <c r="A27" s="104">
        <f>IF(B27="","",ROW()-5)</f>
        <v/>
      </c>
      <c r="B27" s="61" t="n">
        <v>46232</v>
      </c>
      <c r="C27" s="61" t="n">
        <v>46235</v>
      </c>
      <c r="D27" s="105" t="inlineStr">
        <is>
          <t>DOT/USDT</t>
        </is>
      </c>
      <c r="E27" s="49" t="inlineStr">
        <is>
          <t>Long</t>
        </is>
      </c>
      <c r="F27" s="105" t="inlineStr">
        <is>
          <t>Continuation de tendance</t>
        </is>
      </c>
      <c r="G27" s="49" t="inlineStr">
        <is>
          <t>1D</t>
        </is>
      </c>
      <c r="H27" s="106" t="n">
        <v>890</v>
      </c>
      <c r="I27" s="107" t="n">
        <v>5.978</v>
      </c>
      <c r="J27" s="107" t="n">
        <v>5.629</v>
      </c>
      <c r="K27" s="107" t="n">
        <v>6.502</v>
      </c>
      <c r="L27" s="107" t="n">
        <v>5.629</v>
      </c>
      <c r="M27" s="106" t="n">
        <v>1.78</v>
      </c>
      <c r="N27" s="62" t="n">
        <v>7</v>
      </c>
      <c r="O27" s="49" t="inlineStr">
        <is>
          <t>Confiant</t>
        </is>
      </c>
      <c r="P27" s="49" t="inlineStr">
        <is>
          <t>Oui</t>
        </is>
      </c>
      <c r="Q27" s="105" t="inlineStr">
        <is>
          <t>Entrée trop tôt</t>
        </is>
      </c>
      <c r="R27" s="105" t="inlineStr">
        <is>
          <t>Nouveau plus haut avec ADX supérieur à 25.</t>
        </is>
      </c>
      <c r="S27" s="105" t="inlineStr">
        <is>
          <t>Entrée trop précoce, j'aurais dû attendre la clôture.</t>
        </is>
      </c>
      <c r="T27" s="105" t="n"/>
      <c r="U27" s="108">
        <f>IF(OR(H27="",I27="",I27=0),"",H27/I27)</f>
        <v/>
      </c>
      <c r="V27" s="109">
        <f>IF(OR(B27="",C27="",L27=""),"",MAX(0,C27-B27))</f>
        <v/>
      </c>
      <c r="W27" s="110">
        <f>IF(OR(L27="",U27=""),"",IF(E27="Short",(I27-L27)*U27,(L27-I27)*U27))</f>
        <v/>
      </c>
      <c r="X27" s="110">
        <f>IF(W27="","",W27-IF(M27="",0,M27))</f>
        <v/>
      </c>
      <c r="Y27" s="111">
        <f>IF(OR(X27="",H27="",H27=0),"",X27/H27)</f>
        <v/>
      </c>
      <c r="Z27" s="112">
        <f>IF(OR(I27="",J27="",U27=""),"",ABS(I27-J27)*U27)</f>
        <v/>
      </c>
      <c r="AA27" s="113">
        <f>IF(OR(X27="",Z27="",Z27=0),"",X27/Z27)</f>
        <v/>
      </c>
      <c r="AB27" s="114">
        <f>IF(OR(I27="",J27="",K27="",I27=J27),"",ABS(K27-I27)/ABS(I27-J27))</f>
        <v/>
      </c>
      <c r="AC27" s="51">
        <f>IF(OR(B27="",D27="",H27="",I27=""),"",IF(L27="","Ouvert",IF(X27&gt;0,"Gagné",IF(X27&lt;0,"Perdu","Neutre"))))</f>
        <v/>
      </c>
      <c r="AD27" s="115">
        <f>IF(X27="","",IF(C27="",B27,C27))</f>
        <v/>
      </c>
      <c r="AE27" s="109">
        <f>IF(B27="","",WEEKDAY(B27,2))</f>
        <v/>
      </c>
      <c r="AF27" s="112">
        <f>IF(X27="","",'Paramètres'!$C$9+SUM($X$6:X27))</f>
        <v/>
      </c>
      <c r="AG27" s="112">
        <f>IF(AF27="","",MAX('Paramètres'!$C$9,MAX($AF$6:AF27)))</f>
        <v/>
      </c>
      <c r="AH27" s="116">
        <f>IF(AF27="","",AF27/AG27-1)</f>
        <v/>
      </c>
      <c r="AI27" s="109">
        <f>IF(X27="","",IF(X27&gt;0,IF(N(AI26)&gt;0,N(AI26)+1,1),IF(X27&lt;0,IF(N(AI26)&lt;0,N(AI26)-1,-1),0)))</f>
        <v/>
      </c>
      <c r="AJ27" s="116">
        <f>IF(Z27="","",IFERROR(Z27/('Paramètres'!$C$9+SUM($X$5:X26)),""))</f>
        <v/>
      </c>
      <c r="AK27" s="109">
        <f>IF(AC27="Ouvert",COUNTIF($AC$6:AC27,"Ouvert"),"")</f>
        <v/>
      </c>
    </row>
    <row r="28" ht="19" customHeight="1">
      <c r="A28" s="104">
        <f>IF(B28="","",ROW()-5)</f>
        <v/>
      </c>
      <c r="B28" s="61" t="n">
        <v>46237</v>
      </c>
      <c r="C28" s="61" t="n">
        <v>46248</v>
      </c>
      <c r="D28" s="105" t="inlineStr">
        <is>
          <t>BTC/USDT</t>
        </is>
      </c>
      <c r="E28" s="49" t="inlineStr">
        <is>
          <t>Long</t>
        </is>
      </c>
      <c r="F28" s="105" t="inlineStr">
        <is>
          <t>Breakout</t>
        </is>
      </c>
      <c r="G28" s="49" t="inlineStr">
        <is>
          <t>4H</t>
        </is>
      </c>
      <c r="H28" s="106" t="n">
        <v>1460</v>
      </c>
      <c r="I28" s="107" t="n">
        <v>98471</v>
      </c>
      <c r="J28" s="107" t="n">
        <v>94995</v>
      </c>
      <c r="K28" s="107" t="n">
        <v>108899</v>
      </c>
      <c r="L28" s="107" t="n">
        <v>94995</v>
      </c>
      <c r="M28" s="106" t="n">
        <v>2.92</v>
      </c>
      <c r="N28" s="62" t="n">
        <v>4</v>
      </c>
      <c r="O28" s="49" t="inlineStr">
        <is>
          <t>Hésitant</t>
        </is>
      </c>
      <c r="P28" s="49" t="inlineStr">
        <is>
          <t>Oui</t>
        </is>
      </c>
      <c r="Q28" s="105" t="inlineStr">
        <is>
          <t>Aucune</t>
        </is>
      </c>
      <c r="R28" s="105" t="inlineStr">
        <is>
          <t>Cassure de la résistance hebdo avec volume en hausse.</t>
        </is>
      </c>
      <c r="S28" s="105" t="inlineStr">
        <is>
          <t>Trop pressé après une série gagnante : rester constant.</t>
        </is>
      </c>
      <c r="T28" s="105" t="n"/>
      <c r="U28" s="108">
        <f>IF(OR(H28="",I28="",I28=0),"",H28/I28)</f>
        <v/>
      </c>
      <c r="V28" s="109">
        <f>IF(OR(B28="",C28="",L28=""),"",MAX(0,C28-B28))</f>
        <v/>
      </c>
      <c r="W28" s="110">
        <f>IF(OR(L28="",U28=""),"",IF(E28="Short",(I28-L28)*U28,(L28-I28)*U28))</f>
        <v/>
      </c>
      <c r="X28" s="110">
        <f>IF(W28="","",W28-IF(M28="",0,M28))</f>
        <v/>
      </c>
      <c r="Y28" s="111">
        <f>IF(OR(X28="",H28="",H28=0),"",X28/H28)</f>
        <v/>
      </c>
      <c r="Z28" s="112">
        <f>IF(OR(I28="",J28="",U28=""),"",ABS(I28-J28)*U28)</f>
        <v/>
      </c>
      <c r="AA28" s="113">
        <f>IF(OR(X28="",Z28="",Z28=0),"",X28/Z28)</f>
        <v/>
      </c>
      <c r="AB28" s="114">
        <f>IF(OR(I28="",J28="",K28="",I28=J28),"",ABS(K28-I28)/ABS(I28-J28))</f>
        <v/>
      </c>
      <c r="AC28" s="51">
        <f>IF(OR(B28="",D28="",H28="",I28=""),"",IF(L28="","Ouvert",IF(X28&gt;0,"Gagné",IF(X28&lt;0,"Perdu","Neutre"))))</f>
        <v/>
      </c>
      <c r="AD28" s="115">
        <f>IF(X28="","",IF(C28="",B28,C28))</f>
        <v/>
      </c>
      <c r="AE28" s="109">
        <f>IF(B28="","",WEEKDAY(B28,2))</f>
        <v/>
      </c>
      <c r="AF28" s="112">
        <f>IF(X28="","",'Paramètres'!$C$9+SUM($X$6:X28))</f>
        <v/>
      </c>
      <c r="AG28" s="112">
        <f>IF(AF28="","",MAX('Paramètres'!$C$9,MAX($AF$6:AF28)))</f>
        <v/>
      </c>
      <c r="AH28" s="116">
        <f>IF(AF28="","",AF28/AG28-1)</f>
        <v/>
      </c>
      <c r="AI28" s="109">
        <f>IF(X28="","",IF(X28&gt;0,IF(N(AI27)&gt;0,N(AI27)+1,1),IF(X28&lt;0,IF(N(AI27)&lt;0,N(AI27)-1,-1),0)))</f>
        <v/>
      </c>
      <c r="AJ28" s="116">
        <f>IF(Z28="","",IFERROR(Z28/('Paramètres'!$C$9+SUM($X$5:X27)),""))</f>
        <v/>
      </c>
      <c r="AK28" s="109">
        <f>IF(AC28="Ouvert",COUNTIF($AC$6:AC28,"Ouvert"),"")</f>
        <v/>
      </c>
    </row>
    <row r="29" ht="19" customHeight="1">
      <c r="A29" s="104">
        <f>IF(B29="","",ROW()-5)</f>
        <v/>
      </c>
      <c r="B29" s="61" t="n">
        <v>46242</v>
      </c>
      <c r="C29" s="61" t="n">
        <v>46244</v>
      </c>
      <c r="D29" s="105" t="inlineStr">
        <is>
          <t>BNB/USDT</t>
        </is>
      </c>
      <c r="E29" s="49" t="inlineStr">
        <is>
          <t>Short</t>
        </is>
      </c>
      <c r="F29" s="105" t="inlineStr">
        <is>
          <t>Pullback / Retracement</t>
        </is>
      </c>
      <c r="G29" s="49" t="inlineStr">
        <is>
          <t>4H</t>
        </is>
      </c>
      <c r="H29" s="106" t="n">
        <v>900</v>
      </c>
      <c r="I29" s="107" t="n">
        <v>622.6</v>
      </c>
      <c r="J29" s="107" t="n">
        <v>657.9</v>
      </c>
      <c r="K29" s="107" t="n">
        <v>569.7</v>
      </c>
      <c r="L29" s="107" t="n">
        <v>574.3</v>
      </c>
      <c r="M29" s="106" t="n">
        <v>1.8</v>
      </c>
      <c r="N29" s="62" t="n">
        <v>7</v>
      </c>
      <c r="O29" s="49" t="inlineStr">
        <is>
          <t>Confiant</t>
        </is>
      </c>
      <c r="P29" s="49" t="inlineStr">
        <is>
          <t>Oui</t>
        </is>
      </c>
      <c r="Q29" s="105" t="inlineStr">
        <is>
          <t>Sortie prématurée</t>
        </is>
      </c>
      <c r="R29" s="105" t="inlineStr">
        <is>
          <t>Retour sur 61,8 % avec bougie de rejet.</t>
        </is>
      </c>
      <c r="S29" s="105" t="inlineStr">
        <is>
          <t>Exécution propre : stop et objectif respectés.</t>
        </is>
      </c>
      <c r="T29" s="105" t="n"/>
      <c r="U29" s="108">
        <f>IF(OR(H29="",I29="",I29=0),"",H29/I29)</f>
        <v/>
      </c>
      <c r="V29" s="109">
        <f>IF(OR(B29="",C29="",L29=""),"",MAX(0,C29-B29))</f>
        <v/>
      </c>
      <c r="W29" s="110">
        <f>IF(OR(L29="",U29=""),"",IF(E29="Short",(I29-L29)*U29,(L29-I29)*U29))</f>
        <v/>
      </c>
      <c r="X29" s="110">
        <f>IF(W29="","",W29-IF(M29="",0,M29))</f>
        <v/>
      </c>
      <c r="Y29" s="111">
        <f>IF(OR(X29="",H29="",H29=0),"",X29/H29)</f>
        <v/>
      </c>
      <c r="Z29" s="112">
        <f>IF(OR(I29="",J29="",U29=""),"",ABS(I29-J29)*U29)</f>
        <v/>
      </c>
      <c r="AA29" s="113">
        <f>IF(OR(X29="",Z29="",Z29=0),"",X29/Z29)</f>
        <v/>
      </c>
      <c r="AB29" s="114">
        <f>IF(OR(I29="",J29="",K29="",I29=J29),"",ABS(K29-I29)/ABS(I29-J29))</f>
        <v/>
      </c>
      <c r="AC29" s="51">
        <f>IF(OR(B29="",D29="",H29="",I29=""),"",IF(L29="","Ouvert",IF(X29&gt;0,"Gagné",IF(X29&lt;0,"Perdu","Neutre"))))</f>
        <v/>
      </c>
      <c r="AD29" s="115">
        <f>IF(X29="","",IF(C29="",B29,C29))</f>
        <v/>
      </c>
      <c r="AE29" s="109">
        <f>IF(B29="","",WEEKDAY(B29,2))</f>
        <v/>
      </c>
      <c r="AF29" s="112">
        <f>IF(X29="","",'Paramètres'!$C$9+SUM($X$6:X29))</f>
        <v/>
      </c>
      <c r="AG29" s="112">
        <f>IF(AF29="","",MAX('Paramètres'!$C$9,MAX($AF$6:AF29)))</f>
        <v/>
      </c>
      <c r="AH29" s="116">
        <f>IF(AF29="","",AF29/AG29-1)</f>
        <v/>
      </c>
      <c r="AI29" s="109">
        <f>IF(X29="","",IF(X29&gt;0,IF(N(AI28)&gt;0,N(AI28)+1,1),IF(X29&lt;0,IF(N(AI28)&lt;0,N(AI28)-1,-1),0)))</f>
        <v/>
      </c>
      <c r="AJ29" s="116">
        <f>IF(Z29="","",IFERROR(Z29/('Paramètres'!$C$9+SUM($X$5:X28)),""))</f>
        <v/>
      </c>
      <c r="AK29" s="109">
        <f>IF(AC29="Ouvert",COUNTIF($AC$6:AC29,"Ouvert"),"")</f>
        <v/>
      </c>
    </row>
    <row r="30" ht="19" customHeight="1">
      <c r="A30" s="104">
        <f>IF(B30="","",ROW()-5)</f>
        <v/>
      </c>
      <c r="B30" s="61" t="n">
        <v>46247</v>
      </c>
      <c r="C30" s="61" t="n">
        <v>46252</v>
      </c>
      <c r="D30" s="105" t="inlineStr">
        <is>
          <t>BTC/USDT</t>
        </is>
      </c>
      <c r="E30" s="49" t="inlineStr">
        <is>
          <t>Long</t>
        </is>
      </c>
      <c r="F30" s="105" t="inlineStr">
        <is>
          <t>Pullback / Retracement</t>
        </is>
      </c>
      <c r="G30" s="49" t="inlineStr">
        <is>
          <t>4H</t>
        </is>
      </c>
      <c r="H30" s="106" t="n">
        <v>790</v>
      </c>
      <c r="I30" s="107" t="n">
        <v>76724</v>
      </c>
      <c r="J30" s="107" t="n">
        <v>71713</v>
      </c>
      <c r="K30" s="107" t="n">
        <v>86746</v>
      </c>
      <c r="L30" s="107" t="n">
        <v>71713</v>
      </c>
      <c r="M30" s="106" t="n">
        <v>1.58</v>
      </c>
      <c r="N30" s="62" t="n">
        <v>4</v>
      </c>
      <c r="O30" s="49" t="inlineStr">
        <is>
          <t>FOMO</t>
        </is>
      </c>
      <c r="P30" s="49" t="inlineStr">
        <is>
          <t>Oui</t>
        </is>
      </c>
      <c r="Q30" s="105" t="inlineStr">
        <is>
          <t>Entrée trop tôt</t>
        </is>
      </c>
      <c r="R30" s="105" t="inlineStr">
        <is>
          <t>Repli sur la MM50 dans une tendance haussière.</t>
        </is>
      </c>
      <c r="S30" s="105" t="inlineStr">
        <is>
          <t>Setup moyen (score bas) : à éviter à l'avenir.</t>
        </is>
      </c>
      <c r="T30" s="105" t="n"/>
      <c r="U30" s="108">
        <f>IF(OR(H30="",I30="",I30=0),"",H30/I30)</f>
        <v/>
      </c>
      <c r="V30" s="109">
        <f>IF(OR(B30="",C30="",L30=""),"",MAX(0,C30-B30))</f>
        <v/>
      </c>
      <c r="W30" s="110">
        <f>IF(OR(L30="",U30=""),"",IF(E30="Short",(I30-L30)*U30,(L30-I30)*U30))</f>
        <v/>
      </c>
      <c r="X30" s="110">
        <f>IF(W30="","",W30-IF(M30="",0,M30))</f>
        <v/>
      </c>
      <c r="Y30" s="111">
        <f>IF(OR(X30="",H30="",H30=0),"",X30/H30)</f>
        <v/>
      </c>
      <c r="Z30" s="112">
        <f>IF(OR(I30="",J30="",U30=""),"",ABS(I30-J30)*U30)</f>
        <v/>
      </c>
      <c r="AA30" s="113">
        <f>IF(OR(X30="",Z30="",Z30=0),"",X30/Z30)</f>
        <v/>
      </c>
      <c r="AB30" s="114">
        <f>IF(OR(I30="",J30="",K30="",I30=J30),"",ABS(K30-I30)/ABS(I30-J30))</f>
        <v/>
      </c>
      <c r="AC30" s="51">
        <f>IF(OR(B30="",D30="",H30="",I30=""),"",IF(L30="","Ouvert",IF(X30&gt;0,"Gagné",IF(X30&lt;0,"Perdu","Neutre"))))</f>
        <v/>
      </c>
      <c r="AD30" s="115">
        <f>IF(X30="","",IF(C30="",B30,C30))</f>
        <v/>
      </c>
      <c r="AE30" s="109">
        <f>IF(B30="","",WEEKDAY(B30,2))</f>
        <v/>
      </c>
      <c r="AF30" s="112">
        <f>IF(X30="","",'Paramètres'!$C$9+SUM($X$6:X30))</f>
        <v/>
      </c>
      <c r="AG30" s="112">
        <f>IF(AF30="","",MAX('Paramètres'!$C$9,MAX($AF$6:AF30)))</f>
        <v/>
      </c>
      <c r="AH30" s="116">
        <f>IF(AF30="","",AF30/AG30-1)</f>
        <v/>
      </c>
      <c r="AI30" s="109">
        <f>IF(X30="","",IF(X30&gt;0,IF(N(AI29)&gt;0,N(AI29)+1,1),IF(X30&lt;0,IF(N(AI29)&lt;0,N(AI29)-1,-1),0)))</f>
        <v/>
      </c>
      <c r="AJ30" s="116">
        <f>IF(Z30="","",IFERROR(Z30/('Paramètres'!$C$9+SUM($X$5:X29)),""))</f>
        <v/>
      </c>
      <c r="AK30" s="109">
        <f>IF(AC30="Ouvert",COUNTIF($AC$6:AC30,"Ouvert"),"")</f>
        <v/>
      </c>
    </row>
    <row r="31" ht="19" customHeight="1">
      <c r="A31" s="104">
        <f>IF(B31="","",ROW()-5)</f>
        <v/>
      </c>
      <c r="B31" s="61" t="n">
        <v>46251</v>
      </c>
      <c r="C31" s="61" t="n">
        <v>46258</v>
      </c>
      <c r="D31" s="105" t="inlineStr">
        <is>
          <t>SOL/USDT</t>
        </is>
      </c>
      <c r="E31" s="49" t="inlineStr">
        <is>
          <t>Long</t>
        </is>
      </c>
      <c r="F31" s="105" t="inlineStr">
        <is>
          <t>Breakout</t>
        </is>
      </c>
      <c r="G31" s="49" t="inlineStr">
        <is>
          <t>1H</t>
        </is>
      </c>
      <c r="H31" s="106" t="n">
        <v>850</v>
      </c>
      <c r="I31" s="107" t="n">
        <v>148</v>
      </c>
      <c r="J31" s="107" t="n">
        <v>139.1</v>
      </c>
      <c r="K31" s="107" t="n">
        <v>165.8</v>
      </c>
      <c r="L31" s="107" t="n">
        <v>139.6</v>
      </c>
      <c r="M31" s="106" t="n">
        <v>1.7</v>
      </c>
      <c r="N31" s="62" t="n">
        <v>7</v>
      </c>
      <c r="O31" s="49" t="inlineStr">
        <is>
          <t>Calme</t>
        </is>
      </c>
      <c r="P31" s="49" t="inlineStr">
        <is>
          <t>Oui</t>
        </is>
      </c>
      <c r="Q31" s="105" t="inlineStr">
        <is>
          <t>Aucune</t>
        </is>
      </c>
      <c r="R31" s="105" t="inlineStr">
        <is>
          <t>Sortie de consolidation serrée sous le plus haut.</t>
        </is>
      </c>
      <c r="S31" s="105" t="inlineStr">
        <is>
          <t>Entrée trop précoce, j'aurais dû attendre la clôture.</t>
        </is>
      </c>
      <c r="T31" s="105" t="n"/>
      <c r="U31" s="108">
        <f>IF(OR(H31="",I31="",I31=0),"",H31/I31)</f>
        <v/>
      </c>
      <c r="V31" s="109">
        <f>IF(OR(B31="",C31="",L31=""),"",MAX(0,C31-B31))</f>
        <v/>
      </c>
      <c r="W31" s="110">
        <f>IF(OR(L31="",U31=""),"",IF(E31="Short",(I31-L31)*U31,(L31-I31)*U31))</f>
        <v/>
      </c>
      <c r="X31" s="110">
        <f>IF(W31="","",W31-IF(M31="",0,M31))</f>
        <v/>
      </c>
      <c r="Y31" s="111">
        <f>IF(OR(X31="",H31="",H31=0),"",X31/H31)</f>
        <v/>
      </c>
      <c r="Z31" s="112">
        <f>IF(OR(I31="",J31="",U31=""),"",ABS(I31-J31)*U31)</f>
        <v/>
      </c>
      <c r="AA31" s="113">
        <f>IF(OR(X31="",Z31="",Z31=0),"",X31/Z31)</f>
        <v/>
      </c>
      <c r="AB31" s="114">
        <f>IF(OR(I31="",J31="",K31="",I31=J31),"",ABS(K31-I31)/ABS(I31-J31))</f>
        <v/>
      </c>
      <c r="AC31" s="51">
        <f>IF(OR(B31="",D31="",H31="",I31=""),"",IF(L31="","Ouvert",IF(X31&gt;0,"Gagné",IF(X31&lt;0,"Perdu","Neutre"))))</f>
        <v/>
      </c>
      <c r="AD31" s="115">
        <f>IF(X31="","",IF(C31="",B31,C31))</f>
        <v/>
      </c>
      <c r="AE31" s="109">
        <f>IF(B31="","",WEEKDAY(B31,2))</f>
        <v/>
      </c>
      <c r="AF31" s="112">
        <f>IF(X31="","",'Paramètres'!$C$9+SUM($X$6:X31))</f>
        <v/>
      </c>
      <c r="AG31" s="112">
        <f>IF(AF31="","",MAX('Paramètres'!$C$9,MAX($AF$6:AF31)))</f>
        <v/>
      </c>
      <c r="AH31" s="116">
        <f>IF(AF31="","",AF31/AG31-1)</f>
        <v/>
      </c>
      <c r="AI31" s="109">
        <f>IF(X31="","",IF(X31&gt;0,IF(N(AI30)&gt;0,N(AI30)+1,1),IF(X31&lt;0,IF(N(AI30)&lt;0,N(AI30)-1,-1),0)))</f>
        <v/>
      </c>
      <c r="AJ31" s="116">
        <f>IF(Z31="","",IFERROR(Z31/('Paramètres'!$C$9+SUM($X$5:X30)),""))</f>
        <v/>
      </c>
      <c r="AK31" s="109">
        <f>IF(AC31="Ouvert",COUNTIF($AC$6:AC31,"Ouvert"),"")</f>
        <v/>
      </c>
    </row>
    <row r="32" ht="19" customHeight="1">
      <c r="A32" s="104">
        <f>IF(B32="","",ROW()-5)</f>
        <v/>
      </c>
      <c r="B32" s="61" t="n">
        <v>46254</v>
      </c>
      <c r="C32" s="61" t="n">
        <v>46260</v>
      </c>
      <c r="D32" s="105" t="inlineStr">
        <is>
          <t>BTC/USDT</t>
        </is>
      </c>
      <c r="E32" s="49" t="inlineStr">
        <is>
          <t>Long</t>
        </is>
      </c>
      <c r="F32" s="105" t="inlineStr">
        <is>
          <t>Flag / Pennant</t>
        </is>
      </c>
      <c r="G32" s="49" t="inlineStr">
        <is>
          <t>1D</t>
        </is>
      </c>
      <c r="H32" s="106" t="n">
        <v>790</v>
      </c>
      <c r="I32" s="107" t="n">
        <v>80074</v>
      </c>
      <c r="J32" s="107" t="n">
        <v>74960</v>
      </c>
      <c r="K32" s="107" t="n">
        <v>90302</v>
      </c>
      <c r="L32" s="107" t="n">
        <v>75372</v>
      </c>
      <c r="M32" s="106" t="n">
        <v>1.58</v>
      </c>
      <c r="N32" s="62" t="n">
        <v>4</v>
      </c>
      <c r="O32" s="49" t="inlineStr">
        <is>
          <t>FOMO</t>
        </is>
      </c>
      <c r="P32" s="49" t="inlineStr">
        <is>
          <t>Oui</t>
        </is>
      </c>
      <c r="Q32" s="105" t="inlineStr">
        <is>
          <t>Aucune</t>
        </is>
      </c>
      <c r="R32" s="105" t="inlineStr">
        <is>
          <t>Flag après impulsion verticale, cassure avec volume.</t>
        </is>
      </c>
      <c r="S32" s="105" t="inlineStr">
        <is>
          <t>Setup moyen (score bas) : à éviter à l'avenir.</t>
        </is>
      </c>
      <c r="T32" s="105" t="n"/>
      <c r="U32" s="108">
        <f>IF(OR(H32="",I32="",I32=0),"",H32/I32)</f>
        <v/>
      </c>
      <c r="V32" s="109">
        <f>IF(OR(B32="",C32="",L32=""),"",MAX(0,C32-B32))</f>
        <v/>
      </c>
      <c r="W32" s="110">
        <f>IF(OR(L32="",U32=""),"",IF(E32="Short",(I32-L32)*U32,(L32-I32)*U32))</f>
        <v/>
      </c>
      <c r="X32" s="110">
        <f>IF(W32="","",W32-IF(M32="",0,M32))</f>
        <v/>
      </c>
      <c r="Y32" s="111">
        <f>IF(OR(X32="",H32="",H32=0),"",X32/H32)</f>
        <v/>
      </c>
      <c r="Z32" s="112">
        <f>IF(OR(I32="",J32="",U32=""),"",ABS(I32-J32)*U32)</f>
        <v/>
      </c>
      <c r="AA32" s="113">
        <f>IF(OR(X32="",Z32="",Z32=0),"",X32/Z32)</f>
        <v/>
      </c>
      <c r="AB32" s="114">
        <f>IF(OR(I32="",J32="",K32="",I32=J32),"",ABS(K32-I32)/ABS(I32-J32))</f>
        <v/>
      </c>
      <c r="AC32" s="51">
        <f>IF(OR(B32="",D32="",H32="",I32=""),"",IF(L32="","Ouvert",IF(X32&gt;0,"Gagné",IF(X32&lt;0,"Perdu","Neutre"))))</f>
        <v/>
      </c>
      <c r="AD32" s="115">
        <f>IF(X32="","",IF(C32="",B32,C32))</f>
        <v/>
      </c>
      <c r="AE32" s="109">
        <f>IF(B32="","",WEEKDAY(B32,2))</f>
        <v/>
      </c>
      <c r="AF32" s="112">
        <f>IF(X32="","",'Paramètres'!$C$9+SUM($X$6:X32))</f>
        <v/>
      </c>
      <c r="AG32" s="112">
        <f>IF(AF32="","",MAX('Paramètres'!$C$9,MAX($AF$6:AF32)))</f>
        <v/>
      </c>
      <c r="AH32" s="116">
        <f>IF(AF32="","",AF32/AG32-1)</f>
        <v/>
      </c>
      <c r="AI32" s="109">
        <f>IF(X32="","",IF(X32&gt;0,IF(N(AI31)&gt;0,N(AI31)+1,1),IF(X32&lt;0,IF(N(AI31)&lt;0,N(AI31)-1,-1),0)))</f>
        <v/>
      </c>
      <c r="AJ32" s="116">
        <f>IF(Z32="","",IFERROR(Z32/('Paramètres'!$C$9+SUM($X$5:X31)),""))</f>
        <v/>
      </c>
      <c r="AK32" s="109">
        <f>IF(AC32="Ouvert",COUNTIF($AC$6:AC32,"Ouvert"),"")</f>
        <v/>
      </c>
    </row>
    <row r="33" ht="19" customHeight="1">
      <c r="A33" s="104">
        <f>IF(B33="","",ROW()-5)</f>
        <v/>
      </c>
      <c r="B33" s="61" t="n">
        <v>46258</v>
      </c>
      <c r="C33" s="61" t="n">
        <v>46264</v>
      </c>
      <c r="D33" s="105" t="inlineStr">
        <is>
          <t>BNB/USDT</t>
        </is>
      </c>
      <c r="E33" s="49" t="inlineStr">
        <is>
          <t>Short</t>
        </is>
      </c>
      <c r="F33" s="105" t="inlineStr">
        <is>
          <t>Cassure de trendline</t>
        </is>
      </c>
      <c r="G33" s="49" t="inlineStr">
        <is>
          <t>1D</t>
        </is>
      </c>
      <c r="H33" s="106" t="n">
        <v>1610</v>
      </c>
      <c r="I33" s="107" t="n">
        <v>625.1</v>
      </c>
      <c r="J33" s="107" t="n">
        <v>644.6</v>
      </c>
      <c r="K33" s="107" t="n">
        <v>586.1</v>
      </c>
      <c r="L33" s="107" t="n">
        <v>587.1</v>
      </c>
      <c r="M33" s="106" t="n">
        <v>3.22</v>
      </c>
      <c r="N33" s="62" t="n">
        <v>7</v>
      </c>
      <c r="O33" s="49" t="inlineStr">
        <is>
          <t>Calme</t>
        </is>
      </c>
      <c r="P33" s="49" t="inlineStr">
        <is>
          <t>Oui</t>
        </is>
      </c>
      <c r="Q33" s="105" t="inlineStr">
        <is>
          <t>Aucune</t>
        </is>
      </c>
      <c r="R33" s="105" t="inlineStr">
        <is>
          <t>Cassure de trendline descendante avec retest.</t>
        </is>
      </c>
      <c r="S33" s="105" t="inlineStr">
        <is>
          <t>Exécution propre : stop et objectif respectés.</t>
        </is>
      </c>
      <c r="T33" s="105" t="n"/>
      <c r="U33" s="108">
        <f>IF(OR(H33="",I33="",I33=0),"",H33/I33)</f>
        <v/>
      </c>
      <c r="V33" s="109">
        <f>IF(OR(B33="",C33="",L33=""),"",MAX(0,C33-B33))</f>
        <v/>
      </c>
      <c r="W33" s="110">
        <f>IF(OR(L33="",U33=""),"",IF(E33="Short",(I33-L33)*U33,(L33-I33)*U33))</f>
        <v/>
      </c>
      <c r="X33" s="110">
        <f>IF(W33="","",W33-IF(M33="",0,M33))</f>
        <v/>
      </c>
      <c r="Y33" s="111">
        <f>IF(OR(X33="",H33="",H33=0),"",X33/H33)</f>
        <v/>
      </c>
      <c r="Z33" s="112">
        <f>IF(OR(I33="",J33="",U33=""),"",ABS(I33-J33)*U33)</f>
        <v/>
      </c>
      <c r="AA33" s="113">
        <f>IF(OR(X33="",Z33="",Z33=0),"",X33/Z33)</f>
        <v/>
      </c>
      <c r="AB33" s="114">
        <f>IF(OR(I33="",J33="",K33="",I33=J33),"",ABS(K33-I33)/ABS(I33-J33))</f>
        <v/>
      </c>
      <c r="AC33" s="51">
        <f>IF(OR(B33="",D33="",H33="",I33=""),"",IF(L33="","Ouvert",IF(X33&gt;0,"Gagné",IF(X33&lt;0,"Perdu","Neutre"))))</f>
        <v/>
      </c>
      <c r="AD33" s="115">
        <f>IF(X33="","",IF(C33="",B33,C33))</f>
        <v/>
      </c>
      <c r="AE33" s="109">
        <f>IF(B33="","",WEEKDAY(B33,2))</f>
        <v/>
      </c>
      <c r="AF33" s="112">
        <f>IF(X33="","",'Paramètres'!$C$9+SUM($X$6:X33))</f>
        <v/>
      </c>
      <c r="AG33" s="112">
        <f>IF(AF33="","",MAX('Paramètres'!$C$9,MAX($AF$6:AF33)))</f>
        <v/>
      </c>
      <c r="AH33" s="116">
        <f>IF(AF33="","",AF33/AG33-1)</f>
        <v/>
      </c>
      <c r="AI33" s="109">
        <f>IF(X33="","",IF(X33&gt;0,IF(N(AI32)&gt;0,N(AI32)+1,1),IF(X33&lt;0,IF(N(AI32)&lt;0,N(AI32)-1,-1),0)))</f>
        <v/>
      </c>
      <c r="AJ33" s="116">
        <f>IF(Z33="","",IFERROR(Z33/('Paramètres'!$C$9+SUM($X$5:X32)),""))</f>
        <v/>
      </c>
      <c r="AK33" s="109">
        <f>IF(AC33="Ouvert",COUNTIF($AC$6:AC33,"Ouvert"),"")</f>
        <v/>
      </c>
    </row>
    <row r="34" ht="19" customHeight="1">
      <c r="A34" s="104">
        <f>IF(B34="","",ROW()-5)</f>
        <v/>
      </c>
      <c r="B34" s="61" t="n">
        <v>46261</v>
      </c>
      <c r="C34" s="61" t="n">
        <v>46265</v>
      </c>
      <c r="D34" s="105" t="inlineStr">
        <is>
          <t>ADA/USDT</t>
        </is>
      </c>
      <c r="E34" s="49" t="inlineStr">
        <is>
          <t>Long</t>
        </is>
      </c>
      <c r="F34" s="105" t="inlineStr">
        <is>
          <t>Retournement (double top/bottom)</t>
        </is>
      </c>
      <c r="G34" s="49" t="inlineStr">
        <is>
          <t>1D</t>
        </is>
      </c>
      <c r="H34" s="106" t="n">
        <v>750</v>
      </c>
      <c r="I34" s="107" t="n">
        <v>0.796</v>
      </c>
      <c r="J34" s="107" t="n">
        <v>0.7417</v>
      </c>
      <c r="K34" s="107" t="n">
        <v>0.8774999999999999</v>
      </c>
      <c r="L34" s="107" t="n">
        <v>0.8521</v>
      </c>
      <c r="M34" s="106" t="n">
        <v>1.5</v>
      </c>
      <c r="N34" s="62" t="n">
        <v>4</v>
      </c>
      <c r="O34" s="49" t="inlineStr">
        <is>
          <t>Euphorique</t>
        </is>
      </c>
      <c r="P34" s="49" t="inlineStr">
        <is>
          <t>Oui</t>
        </is>
      </c>
      <c r="Q34" s="105" t="inlineStr">
        <is>
          <t>Aucune</t>
        </is>
      </c>
      <c r="R34" s="105" t="inlineStr">
        <is>
          <t>Double creux avec divergence RSI et cassure de la ligne de cou.</t>
        </is>
      </c>
      <c r="S34" s="105" t="inlineStr">
        <is>
          <t>Exécution propre : stop et objectif respectés.</t>
        </is>
      </c>
      <c r="T34" s="105" t="n"/>
      <c r="U34" s="108">
        <f>IF(OR(H34="",I34="",I34=0),"",H34/I34)</f>
        <v/>
      </c>
      <c r="V34" s="109">
        <f>IF(OR(B34="",C34="",L34=""),"",MAX(0,C34-B34))</f>
        <v/>
      </c>
      <c r="W34" s="110">
        <f>IF(OR(L34="",U34=""),"",IF(E34="Short",(I34-L34)*U34,(L34-I34)*U34))</f>
        <v/>
      </c>
      <c r="X34" s="110">
        <f>IF(W34="","",W34-IF(M34="",0,M34))</f>
        <v/>
      </c>
      <c r="Y34" s="111">
        <f>IF(OR(X34="",H34="",H34=0),"",X34/H34)</f>
        <v/>
      </c>
      <c r="Z34" s="112">
        <f>IF(OR(I34="",J34="",U34=""),"",ABS(I34-J34)*U34)</f>
        <v/>
      </c>
      <c r="AA34" s="113">
        <f>IF(OR(X34="",Z34="",Z34=0),"",X34/Z34)</f>
        <v/>
      </c>
      <c r="AB34" s="114">
        <f>IF(OR(I34="",J34="",K34="",I34=J34),"",ABS(K34-I34)/ABS(I34-J34))</f>
        <v/>
      </c>
      <c r="AC34" s="51">
        <f>IF(OR(B34="",D34="",H34="",I34=""),"",IF(L34="","Ouvert",IF(X34&gt;0,"Gagné",IF(X34&lt;0,"Perdu","Neutre"))))</f>
        <v/>
      </c>
      <c r="AD34" s="115">
        <f>IF(X34="","",IF(C34="",B34,C34))</f>
        <v/>
      </c>
      <c r="AE34" s="109">
        <f>IF(B34="","",WEEKDAY(B34,2))</f>
        <v/>
      </c>
      <c r="AF34" s="112">
        <f>IF(X34="","",'Paramètres'!$C$9+SUM($X$6:X34))</f>
        <v/>
      </c>
      <c r="AG34" s="112">
        <f>IF(AF34="","",MAX('Paramètres'!$C$9,MAX($AF$6:AF34)))</f>
        <v/>
      </c>
      <c r="AH34" s="116">
        <f>IF(AF34="","",AF34/AG34-1)</f>
        <v/>
      </c>
      <c r="AI34" s="109">
        <f>IF(X34="","",IF(X34&gt;0,IF(N(AI33)&gt;0,N(AI33)+1,1),IF(X34&lt;0,IF(N(AI33)&lt;0,N(AI33)-1,-1),0)))</f>
        <v/>
      </c>
      <c r="AJ34" s="116">
        <f>IF(Z34="","",IFERROR(Z34/('Paramètres'!$C$9+SUM($X$5:X33)),""))</f>
        <v/>
      </c>
      <c r="AK34" s="109">
        <f>IF(AC34="Ouvert",COUNTIF($AC$6:AC34,"Ouvert"),"")</f>
        <v/>
      </c>
    </row>
    <row r="35" ht="19" customHeight="1">
      <c r="A35" s="104">
        <f>IF(B35="","",ROW()-5)</f>
        <v/>
      </c>
      <c r="B35" s="61" t="n">
        <v>46265</v>
      </c>
      <c r="C35" s="61" t="n">
        <v>46272</v>
      </c>
      <c r="D35" s="105" t="inlineStr">
        <is>
          <t>SOL/USDT</t>
        </is>
      </c>
      <c r="E35" s="49" t="inlineStr">
        <is>
          <t>Long</t>
        </is>
      </c>
      <c r="F35" s="105" t="inlineStr">
        <is>
          <t>Continuation de tendance</t>
        </is>
      </c>
      <c r="G35" s="49" t="inlineStr">
        <is>
          <t>1H</t>
        </is>
      </c>
      <c r="H35" s="106" t="n">
        <v>1600</v>
      </c>
      <c r="I35" s="107" t="n">
        <v>162.9</v>
      </c>
      <c r="J35" s="107" t="n">
        <v>157.7</v>
      </c>
      <c r="K35" s="107" t="n">
        <v>175.9</v>
      </c>
      <c r="L35" s="107" t="n">
        <v>172.3</v>
      </c>
      <c r="M35" s="106" t="n">
        <v>3.2</v>
      </c>
      <c r="N35" s="62" t="n">
        <v>8</v>
      </c>
      <c r="O35" s="49" t="inlineStr">
        <is>
          <t>Confiant</t>
        </is>
      </c>
      <c r="P35" s="49" t="inlineStr">
        <is>
          <t>Oui</t>
        </is>
      </c>
      <c r="Q35" s="105" t="inlineStr">
        <is>
          <t>Aucune</t>
        </is>
      </c>
      <c r="R35" s="105" t="inlineStr">
        <is>
          <t>Nouveau plus haut avec ADX supérieur à 25.</t>
        </is>
      </c>
      <c r="S35" s="105" t="inlineStr">
        <is>
          <t>Exécution propre : stop et objectif respectés.</t>
        </is>
      </c>
      <c r="T35" s="105" t="n"/>
      <c r="U35" s="108">
        <f>IF(OR(H35="",I35="",I35=0),"",H35/I35)</f>
        <v/>
      </c>
      <c r="V35" s="109">
        <f>IF(OR(B35="",C35="",L35=""),"",MAX(0,C35-B35))</f>
        <v/>
      </c>
      <c r="W35" s="110">
        <f>IF(OR(L35="",U35=""),"",IF(E35="Short",(I35-L35)*U35,(L35-I35)*U35))</f>
        <v/>
      </c>
      <c r="X35" s="110">
        <f>IF(W35="","",W35-IF(M35="",0,M35))</f>
        <v/>
      </c>
      <c r="Y35" s="111">
        <f>IF(OR(X35="",H35="",H35=0),"",X35/H35)</f>
        <v/>
      </c>
      <c r="Z35" s="112">
        <f>IF(OR(I35="",J35="",U35=""),"",ABS(I35-J35)*U35)</f>
        <v/>
      </c>
      <c r="AA35" s="113">
        <f>IF(OR(X35="",Z35="",Z35=0),"",X35/Z35)</f>
        <v/>
      </c>
      <c r="AB35" s="114">
        <f>IF(OR(I35="",J35="",K35="",I35=J35),"",ABS(K35-I35)/ABS(I35-J35))</f>
        <v/>
      </c>
      <c r="AC35" s="51">
        <f>IF(OR(B35="",D35="",H35="",I35=""),"",IF(L35="","Ouvert",IF(X35&gt;0,"Gagné",IF(X35&lt;0,"Perdu","Neutre"))))</f>
        <v/>
      </c>
      <c r="AD35" s="115">
        <f>IF(X35="","",IF(C35="",B35,C35))</f>
        <v/>
      </c>
      <c r="AE35" s="109">
        <f>IF(B35="","",WEEKDAY(B35,2))</f>
        <v/>
      </c>
      <c r="AF35" s="112">
        <f>IF(X35="","",'Paramètres'!$C$9+SUM($X$6:X35))</f>
        <v/>
      </c>
      <c r="AG35" s="112">
        <f>IF(AF35="","",MAX('Paramètres'!$C$9,MAX($AF$6:AF35)))</f>
        <v/>
      </c>
      <c r="AH35" s="116">
        <f>IF(AF35="","",AF35/AG35-1)</f>
        <v/>
      </c>
      <c r="AI35" s="109">
        <f>IF(X35="","",IF(X35&gt;0,IF(N(AI34)&gt;0,N(AI34)+1,1),IF(X35&lt;0,IF(N(AI34)&lt;0,N(AI34)-1,-1),0)))</f>
        <v/>
      </c>
      <c r="AJ35" s="116">
        <f>IF(Z35="","",IFERROR(Z35/('Paramètres'!$C$9+SUM($X$5:X34)),""))</f>
        <v/>
      </c>
      <c r="AK35" s="109">
        <f>IF(AC35="Ouvert",COUNTIF($AC$6:AC35,"Ouvert"),"")</f>
        <v/>
      </c>
    </row>
    <row r="36" ht="19" customHeight="1">
      <c r="A36" s="104">
        <f>IF(B36="","",ROW()-5)</f>
        <v/>
      </c>
      <c r="B36" s="61" t="n">
        <v>46270</v>
      </c>
      <c r="C36" s="61" t="n">
        <v>46273</v>
      </c>
      <c r="D36" s="105" t="inlineStr">
        <is>
          <t>ADA/USDT</t>
        </is>
      </c>
      <c r="E36" s="49" t="inlineStr">
        <is>
          <t>Long</t>
        </is>
      </c>
      <c r="F36" s="105" t="inlineStr">
        <is>
          <t>Retest support-résistance</t>
        </is>
      </c>
      <c r="G36" s="49" t="inlineStr">
        <is>
          <t>1D</t>
        </is>
      </c>
      <c r="H36" s="106" t="n">
        <v>800</v>
      </c>
      <c r="I36" s="107" t="n">
        <v>0.7744</v>
      </c>
      <c r="J36" s="107" t="n">
        <v>0.7236</v>
      </c>
      <c r="K36" s="107" t="n">
        <v>0.9014</v>
      </c>
      <c r="L36" s="107" t="n">
        <v>0.8300999999999999</v>
      </c>
      <c r="M36" s="106" t="n">
        <v>1.6</v>
      </c>
      <c r="N36" s="62" t="n">
        <v>8</v>
      </c>
      <c r="O36" s="49" t="inlineStr">
        <is>
          <t>Calme</t>
        </is>
      </c>
      <c r="P36" s="49" t="inlineStr">
        <is>
          <t>Oui</t>
        </is>
      </c>
      <c r="Q36" s="105" t="inlineStr">
        <is>
          <t>Aucune</t>
        </is>
      </c>
      <c r="R36" s="105" t="inlineStr">
        <is>
          <t>Rejet net sur le niveau flip 1D.</t>
        </is>
      </c>
      <c r="S36" s="105" t="inlineStr">
        <is>
          <t>Sortie partielle à 1,5 R a sécurisé le trade.</t>
        </is>
      </c>
      <c r="T36" s="105" t="n"/>
      <c r="U36" s="108">
        <f>IF(OR(H36="",I36="",I36=0),"",H36/I36)</f>
        <v/>
      </c>
      <c r="V36" s="109">
        <f>IF(OR(B36="",C36="",L36=""),"",MAX(0,C36-B36))</f>
        <v/>
      </c>
      <c r="W36" s="110">
        <f>IF(OR(L36="",U36=""),"",IF(E36="Short",(I36-L36)*U36,(L36-I36)*U36))</f>
        <v/>
      </c>
      <c r="X36" s="110">
        <f>IF(W36="","",W36-IF(M36="",0,M36))</f>
        <v/>
      </c>
      <c r="Y36" s="111">
        <f>IF(OR(X36="",H36="",H36=0),"",X36/H36)</f>
        <v/>
      </c>
      <c r="Z36" s="112">
        <f>IF(OR(I36="",J36="",U36=""),"",ABS(I36-J36)*U36)</f>
        <v/>
      </c>
      <c r="AA36" s="113">
        <f>IF(OR(X36="",Z36="",Z36=0),"",X36/Z36)</f>
        <v/>
      </c>
      <c r="AB36" s="114">
        <f>IF(OR(I36="",J36="",K36="",I36=J36),"",ABS(K36-I36)/ABS(I36-J36))</f>
        <v/>
      </c>
      <c r="AC36" s="51">
        <f>IF(OR(B36="",D36="",H36="",I36=""),"",IF(L36="","Ouvert",IF(X36&gt;0,"Gagné",IF(X36&lt;0,"Perdu","Neutre"))))</f>
        <v/>
      </c>
      <c r="AD36" s="115">
        <f>IF(X36="","",IF(C36="",B36,C36))</f>
        <v/>
      </c>
      <c r="AE36" s="109">
        <f>IF(B36="","",WEEKDAY(B36,2))</f>
        <v/>
      </c>
      <c r="AF36" s="112">
        <f>IF(X36="","",'Paramètres'!$C$9+SUM($X$6:X36))</f>
        <v/>
      </c>
      <c r="AG36" s="112">
        <f>IF(AF36="","",MAX('Paramètres'!$C$9,MAX($AF$6:AF36)))</f>
        <v/>
      </c>
      <c r="AH36" s="116">
        <f>IF(AF36="","",AF36/AG36-1)</f>
        <v/>
      </c>
      <c r="AI36" s="109">
        <f>IF(X36="","",IF(X36&gt;0,IF(N(AI35)&gt;0,N(AI35)+1,1),IF(X36&lt;0,IF(N(AI35)&lt;0,N(AI35)-1,-1),0)))</f>
        <v/>
      </c>
      <c r="AJ36" s="116">
        <f>IF(Z36="","",IFERROR(Z36/('Paramètres'!$C$9+SUM($X$5:X35)),""))</f>
        <v/>
      </c>
      <c r="AK36" s="109">
        <f>IF(AC36="Ouvert",COUNTIF($AC$6:AC36,"Ouvert"),"")</f>
        <v/>
      </c>
    </row>
    <row r="37" ht="19" customHeight="1">
      <c r="A37" s="104">
        <f>IF(B37="","",ROW()-5)</f>
        <v/>
      </c>
      <c r="B37" s="61" t="n">
        <v>46273</v>
      </c>
      <c r="C37" s="61" t="n">
        <v>46282</v>
      </c>
      <c r="D37" s="105" t="inlineStr">
        <is>
          <t>LINK/USDT</t>
        </is>
      </c>
      <c r="E37" s="49" t="inlineStr">
        <is>
          <t>Short</t>
        </is>
      </c>
      <c r="F37" s="105" t="inlineStr">
        <is>
          <t>Pullback / Retracement</t>
        </is>
      </c>
      <c r="G37" s="49" t="inlineStr">
        <is>
          <t>4H</t>
        </is>
      </c>
      <c r="H37" s="106" t="n">
        <v>960</v>
      </c>
      <c r="I37" s="107" t="n">
        <v>16.6</v>
      </c>
      <c r="J37" s="107" t="n">
        <v>17.52</v>
      </c>
      <c r="K37" s="107" t="n">
        <v>14.76</v>
      </c>
      <c r="L37" s="107" t="n">
        <v>14.83</v>
      </c>
      <c r="M37" s="106" t="n">
        <v>1.92</v>
      </c>
      <c r="N37" s="62" t="n">
        <v>5</v>
      </c>
      <c r="O37" s="49" t="inlineStr">
        <is>
          <t>Peur</t>
        </is>
      </c>
      <c r="P37" s="49" t="inlineStr">
        <is>
          <t>Oui</t>
        </is>
      </c>
      <c r="Q37" s="105" t="inlineStr">
        <is>
          <t>Sortie prématurée</t>
        </is>
      </c>
      <c r="R37" s="105" t="inlineStr">
        <is>
          <t>Retour sur 61,8 % avec bougie de rejet.</t>
        </is>
      </c>
      <c r="S37" s="105" t="inlineStr">
        <is>
          <t>Sortie partielle à 1,5 R a sécurisé le trade.</t>
        </is>
      </c>
      <c r="T37" s="105" t="n"/>
      <c r="U37" s="108">
        <f>IF(OR(H37="",I37="",I37=0),"",H37/I37)</f>
        <v/>
      </c>
      <c r="V37" s="109">
        <f>IF(OR(B37="",C37="",L37=""),"",MAX(0,C37-B37))</f>
        <v/>
      </c>
      <c r="W37" s="110">
        <f>IF(OR(L37="",U37=""),"",IF(E37="Short",(I37-L37)*U37,(L37-I37)*U37))</f>
        <v/>
      </c>
      <c r="X37" s="110">
        <f>IF(W37="","",W37-IF(M37="",0,M37))</f>
        <v/>
      </c>
      <c r="Y37" s="111">
        <f>IF(OR(X37="",H37="",H37=0),"",X37/H37)</f>
        <v/>
      </c>
      <c r="Z37" s="112">
        <f>IF(OR(I37="",J37="",U37=""),"",ABS(I37-J37)*U37)</f>
        <v/>
      </c>
      <c r="AA37" s="113">
        <f>IF(OR(X37="",Z37="",Z37=0),"",X37/Z37)</f>
        <v/>
      </c>
      <c r="AB37" s="114">
        <f>IF(OR(I37="",J37="",K37="",I37=J37),"",ABS(K37-I37)/ABS(I37-J37))</f>
        <v/>
      </c>
      <c r="AC37" s="51">
        <f>IF(OR(B37="",D37="",H37="",I37=""),"",IF(L37="","Ouvert",IF(X37&gt;0,"Gagné",IF(X37&lt;0,"Perdu","Neutre"))))</f>
        <v/>
      </c>
      <c r="AD37" s="115">
        <f>IF(X37="","",IF(C37="",B37,C37))</f>
        <v/>
      </c>
      <c r="AE37" s="109">
        <f>IF(B37="","",WEEKDAY(B37,2))</f>
        <v/>
      </c>
      <c r="AF37" s="112">
        <f>IF(X37="","",'Paramètres'!$C$9+SUM($X$6:X37))</f>
        <v/>
      </c>
      <c r="AG37" s="112">
        <f>IF(AF37="","",MAX('Paramètres'!$C$9,MAX($AF$6:AF37)))</f>
        <v/>
      </c>
      <c r="AH37" s="116">
        <f>IF(AF37="","",AF37/AG37-1)</f>
        <v/>
      </c>
      <c r="AI37" s="109">
        <f>IF(X37="","",IF(X37&gt;0,IF(N(AI36)&gt;0,N(AI36)+1,1),IF(X37&lt;0,IF(N(AI36)&lt;0,N(AI36)-1,-1),0)))</f>
        <v/>
      </c>
      <c r="AJ37" s="116">
        <f>IF(Z37="","",IFERROR(Z37/('Paramètres'!$C$9+SUM($X$5:X36)),""))</f>
        <v/>
      </c>
      <c r="AK37" s="109">
        <f>IF(AC37="Ouvert",COUNTIF($AC$6:AC37,"Ouvert"),"")</f>
        <v/>
      </c>
    </row>
    <row r="38" ht="19" customHeight="1">
      <c r="A38" s="104">
        <f>IF(B38="","",ROW()-5)</f>
        <v/>
      </c>
      <c r="B38" s="61" t="n">
        <v>46276</v>
      </c>
      <c r="C38" s="61" t="n">
        <v>46287</v>
      </c>
      <c r="D38" s="105" t="inlineStr">
        <is>
          <t>DOT/USDT</t>
        </is>
      </c>
      <c r="E38" s="49" t="inlineStr">
        <is>
          <t>Long</t>
        </is>
      </c>
      <c r="F38" s="105" t="inlineStr">
        <is>
          <t>Retest support-résistance</t>
        </is>
      </c>
      <c r="G38" s="49" t="inlineStr">
        <is>
          <t>1D</t>
        </is>
      </c>
      <c r="H38" s="106" t="n">
        <v>790</v>
      </c>
      <c r="I38" s="107" t="n">
        <v>5.684</v>
      </c>
      <c r="J38" s="107" t="n">
        <v>5.294</v>
      </c>
      <c r="K38" s="107" t="n">
        <v>6.269</v>
      </c>
      <c r="L38" s="107" t="n">
        <v>6.052</v>
      </c>
      <c r="M38" s="106" t="n">
        <v>1.58</v>
      </c>
      <c r="N38" s="62" t="n">
        <v>5</v>
      </c>
      <c r="O38" s="49" t="inlineStr">
        <is>
          <t>Peur</t>
        </is>
      </c>
      <c r="P38" s="49" t="inlineStr">
        <is>
          <t>Oui</t>
        </is>
      </c>
      <c r="Q38" s="105" t="inlineStr">
        <is>
          <t>Aucune</t>
        </is>
      </c>
      <c r="R38" s="105" t="inlineStr">
        <is>
          <t>Retest d'une ancienne résistance devenue support.</t>
        </is>
      </c>
      <c r="S38" s="105" t="inlineStr">
        <is>
          <t>Sortie partielle à 1,5 R a sécurisé le trade.</t>
        </is>
      </c>
      <c r="T38" s="105" t="n"/>
      <c r="U38" s="108">
        <f>IF(OR(H38="",I38="",I38=0),"",H38/I38)</f>
        <v/>
      </c>
      <c r="V38" s="109">
        <f>IF(OR(B38="",C38="",L38=""),"",MAX(0,C38-B38))</f>
        <v/>
      </c>
      <c r="W38" s="110">
        <f>IF(OR(L38="",U38=""),"",IF(E38="Short",(I38-L38)*U38,(L38-I38)*U38))</f>
        <v/>
      </c>
      <c r="X38" s="110">
        <f>IF(W38="","",W38-IF(M38="",0,M38))</f>
        <v/>
      </c>
      <c r="Y38" s="111">
        <f>IF(OR(X38="",H38="",H38=0),"",X38/H38)</f>
        <v/>
      </c>
      <c r="Z38" s="112">
        <f>IF(OR(I38="",J38="",U38=""),"",ABS(I38-J38)*U38)</f>
        <v/>
      </c>
      <c r="AA38" s="113">
        <f>IF(OR(X38="",Z38="",Z38=0),"",X38/Z38)</f>
        <v/>
      </c>
      <c r="AB38" s="114">
        <f>IF(OR(I38="",J38="",K38="",I38=J38),"",ABS(K38-I38)/ABS(I38-J38))</f>
        <v/>
      </c>
      <c r="AC38" s="51">
        <f>IF(OR(B38="",D38="",H38="",I38=""),"",IF(L38="","Ouvert",IF(X38&gt;0,"Gagné",IF(X38&lt;0,"Perdu","Neutre"))))</f>
        <v/>
      </c>
      <c r="AD38" s="115">
        <f>IF(X38="","",IF(C38="",B38,C38))</f>
        <v/>
      </c>
      <c r="AE38" s="109">
        <f>IF(B38="","",WEEKDAY(B38,2))</f>
        <v/>
      </c>
      <c r="AF38" s="112">
        <f>IF(X38="","",'Paramètres'!$C$9+SUM($X$6:X38))</f>
        <v/>
      </c>
      <c r="AG38" s="112">
        <f>IF(AF38="","",MAX('Paramètres'!$C$9,MAX($AF$6:AF38)))</f>
        <v/>
      </c>
      <c r="AH38" s="116">
        <f>IF(AF38="","",AF38/AG38-1)</f>
        <v/>
      </c>
      <c r="AI38" s="109">
        <f>IF(X38="","",IF(X38&gt;0,IF(N(AI37)&gt;0,N(AI37)+1,1),IF(X38&lt;0,IF(N(AI37)&lt;0,N(AI37)-1,-1),0)))</f>
        <v/>
      </c>
      <c r="AJ38" s="116">
        <f>IF(Z38="","",IFERROR(Z38/('Paramètres'!$C$9+SUM($X$5:X37)),""))</f>
        <v/>
      </c>
      <c r="AK38" s="109">
        <f>IF(AC38="Ouvert",COUNTIF($AC$6:AC38,"Ouvert"),"")</f>
        <v/>
      </c>
    </row>
    <row r="39" ht="19" customHeight="1">
      <c r="A39" s="104">
        <f>IF(B39="","",ROW()-5)</f>
        <v/>
      </c>
      <c r="B39" s="61" t="n">
        <v>46281</v>
      </c>
      <c r="C39" s="61" t="n">
        <v>46289</v>
      </c>
      <c r="D39" s="105" t="inlineStr">
        <is>
          <t>AVAX/USDT</t>
        </is>
      </c>
      <c r="E39" s="49" t="inlineStr">
        <is>
          <t>Short</t>
        </is>
      </c>
      <c r="F39" s="105" t="inlineStr">
        <is>
          <t>Divergence RSI / MACD</t>
        </is>
      </c>
      <c r="G39" s="49" t="inlineStr">
        <is>
          <t>4H</t>
        </is>
      </c>
      <c r="H39" s="106" t="n">
        <v>860</v>
      </c>
      <c r="I39" s="107" t="n">
        <v>32.87</v>
      </c>
      <c r="J39" s="107" t="n">
        <v>34.96</v>
      </c>
      <c r="K39" s="107" t="n">
        <v>26.6</v>
      </c>
      <c r="L39" s="107" t="n">
        <v>31.14</v>
      </c>
      <c r="M39" s="106" t="n">
        <v>1.72</v>
      </c>
      <c r="N39" s="62" t="n">
        <v>7</v>
      </c>
      <c r="O39" s="49" t="inlineStr">
        <is>
          <t>Calme</t>
        </is>
      </c>
      <c r="P39" s="49" t="inlineStr">
        <is>
          <t>Oui</t>
        </is>
      </c>
      <c r="Q39" s="105" t="inlineStr">
        <is>
          <t>Aucune</t>
        </is>
      </c>
      <c r="R39" s="105" t="inlineStr">
        <is>
          <t>Divergence baissière sur résistance majeure 1D.</t>
        </is>
      </c>
      <c r="S39" s="105" t="inlineStr">
        <is>
          <t>Patience payante : attendre le retest a amélioré le R:R.</t>
        </is>
      </c>
      <c r="T39" s="105" t="n"/>
      <c r="U39" s="108">
        <f>IF(OR(H39="",I39="",I39=0),"",H39/I39)</f>
        <v/>
      </c>
      <c r="V39" s="109">
        <f>IF(OR(B39="",C39="",L39=""),"",MAX(0,C39-B39))</f>
        <v/>
      </c>
      <c r="W39" s="110">
        <f>IF(OR(L39="",U39=""),"",IF(E39="Short",(I39-L39)*U39,(L39-I39)*U39))</f>
        <v/>
      </c>
      <c r="X39" s="110">
        <f>IF(W39="","",W39-IF(M39="",0,M39))</f>
        <v/>
      </c>
      <c r="Y39" s="111">
        <f>IF(OR(X39="",H39="",H39=0),"",X39/H39)</f>
        <v/>
      </c>
      <c r="Z39" s="112">
        <f>IF(OR(I39="",J39="",U39=""),"",ABS(I39-J39)*U39)</f>
        <v/>
      </c>
      <c r="AA39" s="113">
        <f>IF(OR(X39="",Z39="",Z39=0),"",X39/Z39)</f>
        <v/>
      </c>
      <c r="AB39" s="114">
        <f>IF(OR(I39="",J39="",K39="",I39=J39),"",ABS(K39-I39)/ABS(I39-J39))</f>
        <v/>
      </c>
      <c r="AC39" s="51">
        <f>IF(OR(B39="",D39="",H39="",I39=""),"",IF(L39="","Ouvert",IF(X39&gt;0,"Gagné",IF(X39&lt;0,"Perdu","Neutre"))))</f>
        <v/>
      </c>
      <c r="AD39" s="115">
        <f>IF(X39="","",IF(C39="",B39,C39))</f>
        <v/>
      </c>
      <c r="AE39" s="109">
        <f>IF(B39="","",WEEKDAY(B39,2))</f>
        <v/>
      </c>
      <c r="AF39" s="112">
        <f>IF(X39="","",'Paramètres'!$C$9+SUM($X$6:X39))</f>
        <v/>
      </c>
      <c r="AG39" s="112">
        <f>IF(AF39="","",MAX('Paramètres'!$C$9,MAX($AF$6:AF39)))</f>
        <v/>
      </c>
      <c r="AH39" s="116">
        <f>IF(AF39="","",AF39/AG39-1)</f>
        <v/>
      </c>
      <c r="AI39" s="109">
        <f>IF(X39="","",IF(X39&gt;0,IF(N(AI38)&gt;0,N(AI38)+1,1),IF(X39&lt;0,IF(N(AI38)&lt;0,N(AI38)-1,-1),0)))</f>
        <v/>
      </c>
      <c r="AJ39" s="116">
        <f>IF(Z39="","",IFERROR(Z39/('Paramètres'!$C$9+SUM($X$5:X38)),""))</f>
        <v/>
      </c>
      <c r="AK39" s="109">
        <f>IF(AC39="Ouvert",COUNTIF($AC$6:AC39,"Ouvert"),"")</f>
        <v/>
      </c>
    </row>
    <row r="40" ht="19" customHeight="1">
      <c r="A40" s="104">
        <f>IF(B40="","",ROW()-5)</f>
        <v/>
      </c>
      <c r="B40" s="61" t="n">
        <v>46286</v>
      </c>
      <c r="C40" s="61" t="n">
        <v>46298</v>
      </c>
      <c r="D40" s="105" t="inlineStr">
        <is>
          <t>DOGE/USDT</t>
        </is>
      </c>
      <c r="E40" s="49" t="inlineStr">
        <is>
          <t>Short</t>
        </is>
      </c>
      <c r="F40" s="105" t="inlineStr">
        <is>
          <t>Pullback / Retracement</t>
        </is>
      </c>
      <c r="G40" s="49" t="inlineStr">
        <is>
          <t>4H</t>
        </is>
      </c>
      <c r="H40" s="106" t="n">
        <v>1510</v>
      </c>
      <c r="I40" s="107" t="n">
        <v>0.2005</v>
      </c>
      <c r="J40" s="107" t="n">
        <v>0.2078</v>
      </c>
      <c r="K40" s="107" t="n">
        <v>0.1786</v>
      </c>
      <c r="L40" s="107" t="n">
        <v>0.1862</v>
      </c>
      <c r="M40" s="106" t="n">
        <v>3.02</v>
      </c>
      <c r="N40" s="62" t="n">
        <v>7</v>
      </c>
      <c r="O40" s="49" t="inlineStr">
        <is>
          <t>Calme</t>
        </is>
      </c>
      <c r="P40" s="49" t="inlineStr">
        <is>
          <t>Oui</t>
        </is>
      </c>
      <c r="Q40" s="105" t="inlineStr">
        <is>
          <t>Sortie prématurée</t>
        </is>
      </c>
      <c r="R40" s="105" t="inlineStr">
        <is>
          <t>Pullback sur support avec volume décroissant.</t>
        </is>
      </c>
      <c r="S40" s="105" t="inlineStr">
        <is>
          <t>Patience payante : attendre le retest a amélioré le R:R.</t>
        </is>
      </c>
      <c r="T40" s="105" t="n"/>
      <c r="U40" s="108">
        <f>IF(OR(H40="",I40="",I40=0),"",H40/I40)</f>
        <v/>
      </c>
      <c r="V40" s="109">
        <f>IF(OR(B40="",C40="",L40=""),"",MAX(0,C40-B40))</f>
        <v/>
      </c>
      <c r="W40" s="110">
        <f>IF(OR(L40="",U40=""),"",IF(E40="Short",(I40-L40)*U40,(L40-I40)*U40))</f>
        <v/>
      </c>
      <c r="X40" s="110">
        <f>IF(W40="","",W40-IF(M40="",0,M40))</f>
        <v/>
      </c>
      <c r="Y40" s="111">
        <f>IF(OR(X40="",H40="",H40=0),"",X40/H40)</f>
        <v/>
      </c>
      <c r="Z40" s="112">
        <f>IF(OR(I40="",J40="",U40=""),"",ABS(I40-J40)*U40)</f>
        <v/>
      </c>
      <c r="AA40" s="113">
        <f>IF(OR(X40="",Z40="",Z40=0),"",X40/Z40)</f>
        <v/>
      </c>
      <c r="AB40" s="114">
        <f>IF(OR(I40="",J40="",K40="",I40=J40),"",ABS(K40-I40)/ABS(I40-J40))</f>
        <v/>
      </c>
      <c r="AC40" s="51">
        <f>IF(OR(B40="",D40="",H40="",I40=""),"",IF(L40="","Ouvert",IF(X40&gt;0,"Gagné",IF(X40&lt;0,"Perdu","Neutre"))))</f>
        <v/>
      </c>
      <c r="AD40" s="115">
        <f>IF(X40="","",IF(C40="",B40,C40))</f>
        <v/>
      </c>
      <c r="AE40" s="109">
        <f>IF(B40="","",WEEKDAY(B40,2))</f>
        <v/>
      </c>
      <c r="AF40" s="112">
        <f>IF(X40="","",'Paramètres'!$C$9+SUM($X$6:X40))</f>
        <v/>
      </c>
      <c r="AG40" s="112">
        <f>IF(AF40="","",MAX('Paramètres'!$C$9,MAX($AF$6:AF40)))</f>
        <v/>
      </c>
      <c r="AH40" s="116">
        <f>IF(AF40="","",AF40/AG40-1)</f>
        <v/>
      </c>
      <c r="AI40" s="109">
        <f>IF(X40="","",IF(X40&gt;0,IF(N(AI39)&gt;0,N(AI39)+1,1),IF(X40&lt;0,IF(N(AI39)&lt;0,N(AI39)-1,-1),0)))</f>
        <v/>
      </c>
      <c r="AJ40" s="116">
        <f>IF(Z40="","",IFERROR(Z40/('Paramètres'!$C$9+SUM($X$5:X39)),""))</f>
        <v/>
      </c>
      <c r="AK40" s="109">
        <f>IF(AC40="Ouvert",COUNTIF($AC$6:AC40,"Ouvert"),"")</f>
        <v/>
      </c>
    </row>
    <row r="41" ht="19" customHeight="1">
      <c r="A41" s="104">
        <f>IF(B41="","",ROW()-5)</f>
        <v/>
      </c>
      <c r="B41" s="61" t="n">
        <v>46289</v>
      </c>
      <c r="C41" s="61" t="n">
        <v>46294</v>
      </c>
      <c r="D41" s="105" t="inlineStr">
        <is>
          <t>XRP/USDT</t>
        </is>
      </c>
      <c r="E41" s="49" t="inlineStr">
        <is>
          <t>Long</t>
        </is>
      </c>
      <c r="F41" s="105" t="inlineStr">
        <is>
          <t>Divergence RSI / MACD</t>
        </is>
      </c>
      <c r="G41" s="49" t="inlineStr">
        <is>
          <t>1D</t>
        </is>
      </c>
      <c r="H41" s="106" t="n">
        <v>800</v>
      </c>
      <c r="I41" s="107" t="n">
        <v>1.945</v>
      </c>
      <c r="J41" s="107" t="n">
        <v>1.809</v>
      </c>
      <c r="K41" s="107" t="n">
        <v>2.353</v>
      </c>
      <c r="L41" s="107" t="n">
        <v>2.285</v>
      </c>
      <c r="M41" s="106" t="n">
        <v>1.6</v>
      </c>
      <c r="N41" s="62" t="n">
        <v>7</v>
      </c>
      <c r="O41" s="49" t="inlineStr">
        <is>
          <t>Calme</t>
        </is>
      </c>
      <c r="P41" s="49" t="inlineStr">
        <is>
          <t>Oui</t>
        </is>
      </c>
      <c r="Q41" s="105" t="inlineStr">
        <is>
          <t>Aucune</t>
        </is>
      </c>
      <c r="R41" s="105" t="inlineStr">
        <is>
          <t>Divergence baissière sur résistance majeure 1D.</t>
        </is>
      </c>
      <c r="S41" s="105" t="inlineStr">
        <is>
          <t>Sortie partielle à 1,5 R a sécurisé le trade.</t>
        </is>
      </c>
      <c r="T41" s="105" t="n"/>
      <c r="U41" s="108">
        <f>IF(OR(H41="",I41="",I41=0),"",H41/I41)</f>
        <v/>
      </c>
      <c r="V41" s="109">
        <f>IF(OR(B41="",C41="",L41=""),"",MAX(0,C41-B41))</f>
        <v/>
      </c>
      <c r="W41" s="110">
        <f>IF(OR(L41="",U41=""),"",IF(E41="Short",(I41-L41)*U41,(L41-I41)*U41))</f>
        <v/>
      </c>
      <c r="X41" s="110">
        <f>IF(W41="","",W41-IF(M41="",0,M41))</f>
        <v/>
      </c>
      <c r="Y41" s="111">
        <f>IF(OR(X41="",H41="",H41=0),"",X41/H41)</f>
        <v/>
      </c>
      <c r="Z41" s="112">
        <f>IF(OR(I41="",J41="",U41=""),"",ABS(I41-J41)*U41)</f>
        <v/>
      </c>
      <c r="AA41" s="113">
        <f>IF(OR(X41="",Z41="",Z41=0),"",X41/Z41)</f>
        <v/>
      </c>
      <c r="AB41" s="114">
        <f>IF(OR(I41="",J41="",K41="",I41=J41),"",ABS(K41-I41)/ABS(I41-J41))</f>
        <v/>
      </c>
      <c r="AC41" s="51">
        <f>IF(OR(B41="",D41="",H41="",I41=""),"",IF(L41="","Ouvert",IF(X41&gt;0,"Gagné",IF(X41&lt;0,"Perdu","Neutre"))))</f>
        <v/>
      </c>
      <c r="AD41" s="115">
        <f>IF(X41="","",IF(C41="",B41,C41))</f>
        <v/>
      </c>
      <c r="AE41" s="109">
        <f>IF(B41="","",WEEKDAY(B41,2))</f>
        <v/>
      </c>
      <c r="AF41" s="112">
        <f>IF(X41="","",'Paramètres'!$C$9+SUM($X$6:X41))</f>
        <v/>
      </c>
      <c r="AG41" s="112">
        <f>IF(AF41="","",MAX('Paramètres'!$C$9,MAX($AF$6:AF41)))</f>
        <v/>
      </c>
      <c r="AH41" s="116">
        <f>IF(AF41="","",AF41/AG41-1)</f>
        <v/>
      </c>
      <c r="AI41" s="109">
        <f>IF(X41="","",IF(X41&gt;0,IF(N(AI40)&gt;0,N(AI40)+1,1),IF(X41&lt;0,IF(N(AI40)&lt;0,N(AI40)-1,-1),0)))</f>
        <v/>
      </c>
      <c r="AJ41" s="116">
        <f>IF(Z41="","",IFERROR(Z41/('Paramètres'!$C$9+SUM($X$5:X40)),""))</f>
        <v/>
      </c>
      <c r="AK41" s="109">
        <f>IF(AC41="Ouvert",COUNTIF($AC$6:AC41,"Ouvert"),"")</f>
        <v/>
      </c>
    </row>
    <row r="42" ht="19" customHeight="1">
      <c r="A42" s="104">
        <f>IF(B42="","",ROW()-5)</f>
        <v/>
      </c>
      <c r="B42" s="61" t="n">
        <v>46294</v>
      </c>
      <c r="C42" s="61" t="n">
        <v>46306</v>
      </c>
      <c r="D42" s="105" t="inlineStr">
        <is>
          <t>NEAR/USDT</t>
        </is>
      </c>
      <c r="E42" s="49" t="inlineStr">
        <is>
          <t>Short</t>
        </is>
      </c>
      <c r="F42" s="105" t="inlineStr">
        <is>
          <t>Divergence RSI / MACD</t>
        </is>
      </c>
      <c r="G42" s="49" t="inlineStr">
        <is>
          <t>4H</t>
        </is>
      </c>
      <c r="H42" s="106" t="n">
        <v>1800</v>
      </c>
      <c r="I42" s="107" t="n">
        <v>3.725</v>
      </c>
      <c r="J42" s="107" t="n">
        <v>3.844</v>
      </c>
      <c r="K42" s="107" t="n">
        <v>3.487</v>
      </c>
      <c r="L42" s="107" t="n">
        <v>3.844</v>
      </c>
      <c r="M42" s="106" t="n">
        <v>3.6</v>
      </c>
      <c r="N42" s="62" t="n">
        <v>6</v>
      </c>
      <c r="O42" s="49" t="inlineStr">
        <is>
          <t>Calme</t>
        </is>
      </c>
      <c r="P42" s="49" t="inlineStr">
        <is>
          <t>Oui</t>
        </is>
      </c>
      <c r="Q42" s="105" t="inlineStr">
        <is>
          <t>Entrée trop tôt</t>
        </is>
      </c>
      <c r="R42" s="105" t="inlineStr">
        <is>
          <t>Divergence baissière sur résistance majeure 1D.</t>
        </is>
      </c>
      <c r="S42" s="105" t="inlineStr">
        <is>
          <t>Annonce macro ignorée, à vérifier dans le calendrier.</t>
        </is>
      </c>
      <c r="T42" s="105" t="n"/>
      <c r="U42" s="108">
        <f>IF(OR(H42="",I42="",I42=0),"",H42/I42)</f>
        <v/>
      </c>
      <c r="V42" s="109">
        <f>IF(OR(B42="",C42="",L42=""),"",MAX(0,C42-B42))</f>
        <v/>
      </c>
      <c r="W42" s="110">
        <f>IF(OR(L42="",U42=""),"",IF(E42="Short",(I42-L42)*U42,(L42-I42)*U42))</f>
        <v/>
      </c>
      <c r="X42" s="110">
        <f>IF(W42="","",W42-IF(M42="",0,M42))</f>
        <v/>
      </c>
      <c r="Y42" s="111">
        <f>IF(OR(X42="",H42="",H42=0),"",X42/H42)</f>
        <v/>
      </c>
      <c r="Z42" s="112">
        <f>IF(OR(I42="",J42="",U42=""),"",ABS(I42-J42)*U42)</f>
        <v/>
      </c>
      <c r="AA42" s="113">
        <f>IF(OR(X42="",Z42="",Z42=0),"",X42/Z42)</f>
        <v/>
      </c>
      <c r="AB42" s="114">
        <f>IF(OR(I42="",J42="",K42="",I42=J42),"",ABS(K42-I42)/ABS(I42-J42))</f>
        <v/>
      </c>
      <c r="AC42" s="51">
        <f>IF(OR(B42="",D42="",H42="",I42=""),"",IF(L42="","Ouvert",IF(X42&gt;0,"Gagné",IF(X42&lt;0,"Perdu","Neutre"))))</f>
        <v/>
      </c>
      <c r="AD42" s="115">
        <f>IF(X42="","",IF(C42="",B42,C42))</f>
        <v/>
      </c>
      <c r="AE42" s="109">
        <f>IF(B42="","",WEEKDAY(B42,2))</f>
        <v/>
      </c>
      <c r="AF42" s="112">
        <f>IF(X42="","",'Paramètres'!$C$9+SUM($X$6:X42))</f>
        <v/>
      </c>
      <c r="AG42" s="112">
        <f>IF(AF42="","",MAX('Paramètres'!$C$9,MAX($AF$6:AF42)))</f>
        <v/>
      </c>
      <c r="AH42" s="116">
        <f>IF(AF42="","",AF42/AG42-1)</f>
        <v/>
      </c>
      <c r="AI42" s="109">
        <f>IF(X42="","",IF(X42&gt;0,IF(N(AI41)&gt;0,N(AI41)+1,1),IF(X42&lt;0,IF(N(AI41)&lt;0,N(AI41)-1,-1),0)))</f>
        <v/>
      </c>
      <c r="AJ42" s="116">
        <f>IF(Z42="","",IFERROR(Z42/('Paramètres'!$C$9+SUM($X$5:X41)),""))</f>
        <v/>
      </c>
      <c r="AK42" s="109">
        <f>IF(AC42="Ouvert",COUNTIF($AC$6:AC42,"Ouvert"),"")</f>
        <v/>
      </c>
    </row>
    <row r="43" ht="19" customHeight="1">
      <c r="A43" s="104">
        <f>IF(B43="","",ROW()-5)</f>
        <v/>
      </c>
      <c r="B43" s="61" t="n">
        <v>46300</v>
      </c>
      <c r="C43" s="61" t="n">
        <v>46307</v>
      </c>
      <c r="D43" s="105" t="inlineStr">
        <is>
          <t>XRP/USDT</t>
        </is>
      </c>
      <c r="E43" s="49" t="inlineStr">
        <is>
          <t>Long</t>
        </is>
      </c>
      <c r="F43" s="105" t="inlineStr">
        <is>
          <t>Pullback / Retracement</t>
        </is>
      </c>
      <c r="G43" s="49" t="inlineStr">
        <is>
          <t>4H</t>
        </is>
      </c>
      <c r="H43" s="106" t="n">
        <v>2980</v>
      </c>
      <c r="I43" s="107" t="n">
        <v>2.024</v>
      </c>
      <c r="J43" s="107" t="n">
        <v>1.962</v>
      </c>
      <c r="K43" s="107" t="n">
        <v>2.148</v>
      </c>
      <c r="L43" s="107" t="n">
        <v>1.962</v>
      </c>
      <c r="M43" s="106" t="n">
        <v>5.96</v>
      </c>
      <c r="N43" s="62" t="n">
        <v>7</v>
      </c>
      <c r="O43" s="49" t="inlineStr">
        <is>
          <t>Euphorique</t>
        </is>
      </c>
      <c r="P43" s="49" t="inlineStr">
        <is>
          <t>Non</t>
        </is>
      </c>
      <c r="Q43" s="105" t="inlineStr">
        <is>
          <t>Entrée tardive (FOMO)</t>
        </is>
      </c>
      <c r="R43" s="105" t="inlineStr">
        <is>
          <t>Retour sur 61,8 % avec bougie de rejet.</t>
        </is>
      </c>
      <c r="S43" s="105" t="inlineStr">
        <is>
          <t>Entrée trop précoce, j'aurais dû attendre la clôture.</t>
        </is>
      </c>
      <c r="T43" s="105" t="n"/>
      <c r="U43" s="108">
        <f>IF(OR(H43="",I43="",I43=0),"",H43/I43)</f>
        <v/>
      </c>
      <c r="V43" s="109">
        <f>IF(OR(B43="",C43="",L43=""),"",MAX(0,C43-B43))</f>
        <v/>
      </c>
      <c r="W43" s="110">
        <f>IF(OR(L43="",U43=""),"",IF(E43="Short",(I43-L43)*U43,(L43-I43)*U43))</f>
        <v/>
      </c>
      <c r="X43" s="110">
        <f>IF(W43="","",W43-IF(M43="",0,M43))</f>
        <v/>
      </c>
      <c r="Y43" s="111">
        <f>IF(OR(X43="",H43="",H43=0),"",X43/H43)</f>
        <v/>
      </c>
      <c r="Z43" s="112">
        <f>IF(OR(I43="",J43="",U43=""),"",ABS(I43-J43)*U43)</f>
        <v/>
      </c>
      <c r="AA43" s="113">
        <f>IF(OR(X43="",Z43="",Z43=0),"",X43/Z43)</f>
        <v/>
      </c>
      <c r="AB43" s="114">
        <f>IF(OR(I43="",J43="",K43="",I43=J43),"",ABS(K43-I43)/ABS(I43-J43))</f>
        <v/>
      </c>
      <c r="AC43" s="51">
        <f>IF(OR(B43="",D43="",H43="",I43=""),"",IF(L43="","Ouvert",IF(X43&gt;0,"Gagné",IF(X43&lt;0,"Perdu","Neutre"))))</f>
        <v/>
      </c>
      <c r="AD43" s="115">
        <f>IF(X43="","",IF(C43="",B43,C43))</f>
        <v/>
      </c>
      <c r="AE43" s="109">
        <f>IF(B43="","",WEEKDAY(B43,2))</f>
        <v/>
      </c>
      <c r="AF43" s="112">
        <f>IF(X43="","",'Paramètres'!$C$9+SUM($X$6:X43))</f>
        <v/>
      </c>
      <c r="AG43" s="112">
        <f>IF(AF43="","",MAX('Paramètres'!$C$9,MAX($AF$6:AF43)))</f>
        <v/>
      </c>
      <c r="AH43" s="116">
        <f>IF(AF43="","",AF43/AG43-1)</f>
        <v/>
      </c>
      <c r="AI43" s="109">
        <f>IF(X43="","",IF(X43&gt;0,IF(N(AI42)&gt;0,N(AI42)+1,1),IF(X43&lt;0,IF(N(AI42)&lt;0,N(AI42)-1,-1),0)))</f>
        <v/>
      </c>
      <c r="AJ43" s="116">
        <f>IF(Z43="","",IFERROR(Z43/('Paramètres'!$C$9+SUM($X$5:X42)),""))</f>
        <v/>
      </c>
      <c r="AK43" s="109">
        <f>IF(AC43="Ouvert",COUNTIF($AC$6:AC43,"Ouvert"),"")</f>
        <v/>
      </c>
    </row>
    <row r="44" ht="19" customHeight="1">
      <c r="A44" s="104">
        <f>IF(B44="","",ROW()-5)</f>
        <v/>
      </c>
      <c r="B44" s="61" t="n">
        <v>46306</v>
      </c>
      <c r="C44" s="61" t="n">
        <v>46312</v>
      </c>
      <c r="D44" s="105" t="inlineStr">
        <is>
          <t>LINK/USDT</t>
        </is>
      </c>
      <c r="E44" s="49" t="inlineStr">
        <is>
          <t>Short</t>
        </is>
      </c>
      <c r="F44" s="105" t="inlineStr">
        <is>
          <t>Breakout</t>
        </is>
      </c>
      <c r="G44" s="49" t="inlineStr">
        <is>
          <t>1D</t>
        </is>
      </c>
      <c r="H44" s="106" t="n">
        <v>910</v>
      </c>
      <c r="I44" s="107" t="n">
        <v>17.5</v>
      </c>
      <c r="J44" s="107" t="n">
        <v>18.57</v>
      </c>
      <c r="K44" s="107" t="n">
        <v>15.89</v>
      </c>
      <c r="L44" s="107" t="n">
        <v>16.38</v>
      </c>
      <c r="M44" s="106" t="n">
        <v>1.82</v>
      </c>
      <c r="N44" s="62" t="n">
        <v>8</v>
      </c>
      <c r="O44" s="49" t="inlineStr">
        <is>
          <t>Calme</t>
        </is>
      </c>
      <c r="P44" s="49" t="inlineStr">
        <is>
          <t>Oui</t>
        </is>
      </c>
      <c r="Q44" s="105" t="inlineStr">
        <is>
          <t>Sortie prématurée</t>
        </is>
      </c>
      <c r="R44" s="105" t="inlineStr">
        <is>
          <t>Clôture 4H au-dessus du range avec retest propre.</t>
        </is>
      </c>
      <c r="S44" s="105" t="inlineStr">
        <is>
          <t>Bon timing, la confirmation a évité une entrée trop précoce.</t>
        </is>
      </c>
      <c r="T44" s="105" t="n"/>
      <c r="U44" s="108">
        <f>IF(OR(H44="",I44="",I44=0),"",H44/I44)</f>
        <v/>
      </c>
      <c r="V44" s="109">
        <f>IF(OR(B44="",C44="",L44=""),"",MAX(0,C44-B44))</f>
        <v/>
      </c>
      <c r="W44" s="110">
        <f>IF(OR(L44="",U44=""),"",IF(E44="Short",(I44-L44)*U44,(L44-I44)*U44))</f>
        <v/>
      </c>
      <c r="X44" s="110">
        <f>IF(W44="","",W44-IF(M44="",0,M44))</f>
        <v/>
      </c>
      <c r="Y44" s="111">
        <f>IF(OR(X44="",H44="",H44=0),"",X44/H44)</f>
        <v/>
      </c>
      <c r="Z44" s="112">
        <f>IF(OR(I44="",J44="",U44=""),"",ABS(I44-J44)*U44)</f>
        <v/>
      </c>
      <c r="AA44" s="113">
        <f>IF(OR(X44="",Z44="",Z44=0),"",X44/Z44)</f>
        <v/>
      </c>
      <c r="AB44" s="114">
        <f>IF(OR(I44="",J44="",K44="",I44=J44),"",ABS(K44-I44)/ABS(I44-J44))</f>
        <v/>
      </c>
      <c r="AC44" s="51">
        <f>IF(OR(B44="",D44="",H44="",I44=""),"",IF(L44="","Ouvert",IF(X44&gt;0,"Gagné",IF(X44&lt;0,"Perdu","Neutre"))))</f>
        <v/>
      </c>
      <c r="AD44" s="115">
        <f>IF(X44="","",IF(C44="",B44,C44))</f>
        <v/>
      </c>
      <c r="AE44" s="109">
        <f>IF(B44="","",WEEKDAY(B44,2))</f>
        <v/>
      </c>
      <c r="AF44" s="112">
        <f>IF(X44="","",'Paramètres'!$C$9+SUM($X$6:X44))</f>
        <v/>
      </c>
      <c r="AG44" s="112">
        <f>IF(AF44="","",MAX('Paramètres'!$C$9,MAX($AF$6:AF44)))</f>
        <v/>
      </c>
      <c r="AH44" s="116">
        <f>IF(AF44="","",AF44/AG44-1)</f>
        <v/>
      </c>
      <c r="AI44" s="109">
        <f>IF(X44="","",IF(X44&gt;0,IF(N(AI43)&gt;0,N(AI43)+1,1),IF(X44&lt;0,IF(N(AI43)&lt;0,N(AI43)-1,-1),0)))</f>
        <v/>
      </c>
      <c r="AJ44" s="116">
        <f>IF(Z44="","",IFERROR(Z44/('Paramètres'!$C$9+SUM($X$5:X43)),""))</f>
        <v/>
      </c>
      <c r="AK44" s="109">
        <f>IF(AC44="Ouvert",COUNTIF($AC$6:AC44,"Ouvert"),"")</f>
        <v/>
      </c>
    </row>
    <row r="45" ht="19" customHeight="1">
      <c r="A45" s="104">
        <f>IF(B45="","",ROW()-5)</f>
        <v/>
      </c>
      <c r="B45" s="61" t="n">
        <v>46311</v>
      </c>
      <c r="C45" s="61" t="n"/>
      <c r="D45" s="105" t="inlineStr">
        <is>
          <t>DOT/USDT</t>
        </is>
      </c>
      <c r="E45" s="49" t="inlineStr">
        <is>
          <t>Long</t>
        </is>
      </c>
      <c r="F45" s="105" t="inlineStr">
        <is>
          <t>Breakout</t>
        </is>
      </c>
      <c r="G45" s="49" t="inlineStr">
        <is>
          <t>4H</t>
        </is>
      </c>
      <c r="H45" s="106" t="n">
        <v>1290</v>
      </c>
      <c r="I45" s="107" t="n">
        <v>4.858</v>
      </c>
      <c r="J45" s="107" t="n">
        <v>4.646</v>
      </c>
      <c r="K45" s="107" t="n">
        <v>5.282</v>
      </c>
      <c r="L45" s="107" t="n"/>
      <c r="M45" s="106" t="n"/>
      <c r="N45" s="62" t="n">
        <v>6</v>
      </c>
      <c r="O45" s="49" t="inlineStr">
        <is>
          <t>Confiant</t>
        </is>
      </c>
      <c r="P45" s="49" t="inlineStr">
        <is>
          <t>Oui</t>
        </is>
      </c>
      <c r="Q45" s="105" t="inlineStr">
        <is>
          <t>Aucune</t>
        </is>
      </c>
      <c r="R45" s="105" t="inlineStr">
        <is>
          <t>Cassure de la résistance hebdo avec volume en hausse.</t>
        </is>
      </c>
      <c r="S45" s="105" t="inlineStr">
        <is>
          <t>Position en cours : suivre le stop suiveur.</t>
        </is>
      </c>
      <c r="T45" s="105" t="n"/>
      <c r="U45" s="108">
        <f>IF(OR(H45="",I45="",I45=0),"",H45/I45)</f>
        <v/>
      </c>
      <c r="V45" s="109">
        <f>IF(OR(B45="",C45="",L45=""),"",MAX(0,C45-B45))</f>
        <v/>
      </c>
      <c r="W45" s="110">
        <f>IF(OR(L45="",U45=""),"",IF(E45="Short",(I45-L45)*U45,(L45-I45)*U45))</f>
        <v/>
      </c>
      <c r="X45" s="110">
        <f>IF(W45="","",W45-IF(M45="",0,M45))</f>
        <v/>
      </c>
      <c r="Y45" s="111">
        <f>IF(OR(X45="",H45="",H45=0),"",X45/H45)</f>
        <v/>
      </c>
      <c r="Z45" s="112">
        <f>IF(OR(I45="",J45="",U45=""),"",ABS(I45-J45)*U45)</f>
        <v/>
      </c>
      <c r="AA45" s="113">
        <f>IF(OR(X45="",Z45="",Z45=0),"",X45/Z45)</f>
        <v/>
      </c>
      <c r="AB45" s="114">
        <f>IF(OR(I45="",J45="",K45="",I45=J45),"",ABS(K45-I45)/ABS(I45-J45))</f>
        <v/>
      </c>
      <c r="AC45" s="51">
        <f>IF(OR(B45="",D45="",H45="",I45=""),"",IF(L45="","Ouvert",IF(X45&gt;0,"Gagné",IF(X45&lt;0,"Perdu","Neutre"))))</f>
        <v/>
      </c>
      <c r="AD45" s="115">
        <f>IF(X45="","",IF(C45="",B45,C45))</f>
        <v/>
      </c>
      <c r="AE45" s="109">
        <f>IF(B45="","",WEEKDAY(B45,2))</f>
        <v/>
      </c>
      <c r="AF45" s="112">
        <f>IF(X45="","",'Paramètres'!$C$9+SUM($X$6:X45))</f>
        <v/>
      </c>
      <c r="AG45" s="112">
        <f>IF(AF45="","",MAX('Paramètres'!$C$9,MAX($AF$6:AF45)))</f>
        <v/>
      </c>
      <c r="AH45" s="116">
        <f>IF(AF45="","",AF45/AG45-1)</f>
        <v/>
      </c>
      <c r="AI45" s="109">
        <f>IF(X45="","",IF(X45&gt;0,IF(N(AI44)&gt;0,N(AI44)+1,1),IF(X45&lt;0,IF(N(AI44)&lt;0,N(AI44)-1,-1),0)))</f>
        <v/>
      </c>
      <c r="AJ45" s="116">
        <f>IF(Z45="","",IFERROR(Z45/('Paramètres'!$C$9+SUM($X$5:X44)),""))</f>
        <v/>
      </c>
      <c r="AK45" s="109">
        <f>IF(AC45="Ouvert",COUNTIF($AC$6:AC45,"Ouvert"),"")</f>
        <v/>
      </c>
    </row>
    <row r="46" ht="19" customHeight="1">
      <c r="A46" s="104">
        <f>IF(B46="","",ROW()-5)</f>
        <v/>
      </c>
      <c r="B46" s="61" t="n">
        <v>46316</v>
      </c>
      <c r="C46" s="61" t="n"/>
      <c r="D46" s="105" t="inlineStr">
        <is>
          <t>DOGE/USDT</t>
        </is>
      </c>
      <c r="E46" s="49" t="inlineStr">
        <is>
          <t>Long</t>
        </is>
      </c>
      <c r="F46" s="105" t="inlineStr">
        <is>
          <t>Breakout</t>
        </is>
      </c>
      <c r="G46" s="49" t="inlineStr">
        <is>
          <t>4H</t>
        </is>
      </c>
      <c r="H46" s="106" t="n">
        <v>1260</v>
      </c>
      <c r="I46" s="107" t="n">
        <v>0.1597</v>
      </c>
      <c r="J46" s="107" t="n">
        <v>0.1526</v>
      </c>
      <c r="K46" s="107" t="n">
        <v>0.1739</v>
      </c>
      <c r="L46" s="107" t="n"/>
      <c r="M46" s="106" t="n"/>
      <c r="N46" s="62" t="n">
        <v>5</v>
      </c>
      <c r="O46" s="49" t="inlineStr">
        <is>
          <t>Euphorique</t>
        </is>
      </c>
      <c r="P46" s="49" t="inlineStr">
        <is>
          <t>Oui</t>
        </is>
      </c>
      <c r="Q46" s="105" t="inlineStr">
        <is>
          <t>Aucune</t>
        </is>
      </c>
      <c r="R46" s="105" t="inlineStr">
        <is>
          <t>Cassure de la résistance hebdo avec volume en hausse.</t>
        </is>
      </c>
      <c r="S46" s="105" t="inlineStr">
        <is>
          <t>Position en cours : suivre le stop suiveur.</t>
        </is>
      </c>
      <c r="T46" s="105" t="n"/>
      <c r="U46" s="108">
        <f>IF(OR(H46="",I46="",I46=0),"",H46/I46)</f>
        <v/>
      </c>
      <c r="V46" s="109">
        <f>IF(OR(B46="",C46="",L46=""),"",MAX(0,C46-B46))</f>
        <v/>
      </c>
      <c r="W46" s="110">
        <f>IF(OR(L46="",U46=""),"",IF(E46="Short",(I46-L46)*U46,(L46-I46)*U46))</f>
        <v/>
      </c>
      <c r="X46" s="110">
        <f>IF(W46="","",W46-IF(M46="",0,M46))</f>
        <v/>
      </c>
      <c r="Y46" s="111">
        <f>IF(OR(X46="",H46="",H46=0),"",X46/H46)</f>
        <v/>
      </c>
      <c r="Z46" s="112">
        <f>IF(OR(I46="",J46="",U46=""),"",ABS(I46-J46)*U46)</f>
        <v/>
      </c>
      <c r="AA46" s="113">
        <f>IF(OR(X46="",Z46="",Z46=0),"",X46/Z46)</f>
        <v/>
      </c>
      <c r="AB46" s="114">
        <f>IF(OR(I46="",J46="",K46="",I46=J46),"",ABS(K46-I46)/ABS(I46-J46))</f>
        <v/>
      </c>
      <c r="AC46" s="51">
        <f>IF(OR(B46="",D46="",H46="",I46=""),"",IF(L46="","Ouvert",IF(X46&gt;0,"Gagné",IF(X46&lt;0,"Perdu","Neutre"))))</f>
        <v/>
      </c>
      <c r="AD46" s="115">
        <f>IF(X46="","",IF(C46="",B46,C46))</f>
        <v/>
      </c>
      <c r="AE46" s="109">
        <f>IF(B46="","",WEEKDAY(B46,2))</f>
        <v/>
      </c>
      <c r="AF46" s="112">
        <f>IF(X46="","",'Paramètres'!$C$9+SUM($X$6:X46))</f>
        <v/>
      </c>
      <c r="AG46" s="112">
        <f>IF(AF46="","",MAX('Paramètres'!$C$9,MAX($AF$6:AF46)))</f>
        <v/>
      </c>
      <c r="AH46" s="116">
        <f>IF(AF46="","",AF46/AG46-1)</f>
        <v/>
      </c>
      <c r="AI46" s="109">
        <f>IF(X46="","",IF(X46&gt;0,IF(N(AI45)&gt;0,N(AI45)+1,1),IF(X46&lt;0,IF(N(AI45)&lt;0,N(AI45)-1,-1),0)))</f>
        <v/>
      </c>
      <c r="AJ46" s="116">
        <f>IF(Z46="","",IFERROR(Z46/('Paramètres'!$C$9+SUM($X$5:X45)),""))</f>
        <v/>
      </c>
      <c r="AK46" s="109">
        <f>IF(AC46="Ouvert",COUNTIF($AC$6:AC46,"Ouvert"),"")</f>
        <v/>
      </c>
    </row>
    <row r="47" ht="19" customHeight="1">
      <c r="A47" s="104">
        <f>IF(B47="","",ROW()-5)</f>
        <v/>
      </c>
      <c r="B47" s="61" t="n">
        <v>46321</v>
      </c>
      <c r="C47" s="61" t="n"/>
      <c r="D47" s="105" t="inlineStr">
        <is>
          <t>DOT/USDT</t>
        </is>
      </c>
      <c r="E47" s="49" t="inlineStr">
        <is>
          <t>Long</t>
        </is>
      </c>
      <c r="F47" s="105" t="inlineStr">
        <is>
          <t>Retest support-résistance</t>
        </is>
      </c>
      <c r="G47" s="49" t="inlineStr">
        <is>
          <t>1D</t>
        </is>
      </c>
      <c r="H47" s="106" t="n">
        <v>1470</v>
      </c>
      <c r="I47" s="107" t="n">
        <v>5.933</v>
      </c>
      <c r="J47" s="107" t="n">
        <v>5.706</v>
      </c>
      <c r="K47" s="107" t="n">
        <v>6.387</v>
      </c>
      <c r="L47" s="107" t="n"/>
      <c r="M47" s="106" t="n"/>
      <c r="N47" s="62" t="n">
        <v>4</v>
      </c>
      <c r="O47" s="49" t="inlineStr">
        <is>
          <t>Hésitant</t>
        </is>
      </c>
      <c r="P47" s="49" t="inlineStr">
        <is>
          <t>Oui</t>
        </is>
      </c>
      <c r="Q47" s="105" t="inlineStr">
        <is>
          <t>Aucune</t>
        </is>
      </c>
      <c r="R47" s="105" t="inlineStr">
        <is>
          <t>Rejet net sur le niveau flip 1D.</t>
        </is>
      </c>
      <c r="S47" s="105" t="inlineStr">
        <is>
          <t>Position en cours : suivre le stop suiveur.</t>
        </is>
      </c>
      <c r="T47" s="105" t="n"/>
      <c r="U47" s="108">
        <f>IF(OR(H47="",I47="",I47=0),"",H47/I47)</f>
        <v/>
      </c>
      <c r="V47" s="109">
        <f>IF(OR(B47="",C47="",L47=""),"",MAX(0,C47-B47))</f>
        <v/>
      </c>
      <c r="W47" s="110">
        <f>IF(OR(L47="",U47=""),"",IF(E47="Short",(I47-L47)*U47,(L47-I47)*U47))</f>
        <v/>
      </c>
      <c r="X47" s="110">
        <f>IF(W47="","",W47-IF(M47="",0,M47))</f>
        <v/>
      </c>
      <c r="Y47" s="111">
        <f>IF(OR(X47="",H47="",H47=0),"",X47/H47)</f>
        <v/>
      </c>
      <c r="Z47" s="112">
        <f>IF(OR(I47="",J47="",U47=""),"",ABS(I47-J47)*U47)</f>
        <v/>
      </c>
      <c r="AA47" s="113">
        <f>IF(OR(X47="",Z47="",Z47=0),"",X47/Z47)</f>
        <v/>
      </c>
      <c r="AB47" s="114">
        <f>IF(OR(I47="",J47="",K47="",I47=J47),"",ABS(K47-I47)/ABS(I47-J47))</f>
        <v/>
      </c>
      <c r="AC47" s="51">
        <f>IF(OR(B47="",D47="",H47="",I47=""),"",IF(L47="","Ouvert",IF(X47&gt;0,"Gagné",IF(X47&lt;0,"Perdu","Neutre"))))</f>
        <v/>
      </c>
      <c r="AD47" s="115">
        <f>IF(X47="","",IF(C47="",B47,C47))</f>
        <v/>
      </c>
      <c r="AE47" s="109">
        <f>IF(B47="","",WEEKDAY(B47,2))</f>
        <v/>
      </c>
      <c r="AF47" s="112">
        <f>IF(X47="","",'Paramètres'!$C$9+SUM($X$6:X47))</f>
        <v/>
      </c>
      <c r="AG47" s="112">
        <f>IF(AF47="","",MAX('Paramètres'!$C$9,MAX($AF$6:AF47)))</f>
        <v/>
      </c>
      <c r="AH47" s="116">
        <f>IF(AF47="","",AF47/AG47-1)</f>
        <v/>
      </c>
      <c r="AI47" s="109">
        <f>IF(X47="","",IF(X47&gt;0,IF(N(AI46)&gt;0,N(AI46)+1,1),IF(X47&lt;0,IF(N(AI46)&lt;0,N(AI46)-1,-1),0)))</f>
        <v/>
      </c>
      <c r="AJ47" s="116">
        <f>IF(Z47="","",IFERROR(Z47/('Paramètres'!$C$9+SUM($X$5:X46)),""))</f>
        <v/>
      </c>
      <c r="AK47" s="109">
        <f>IF(AC47="Ouvert",COUNTIF($AC$6:AC47,"Ouvert"),"")</f>
        <v/>
      </c>
    </row>
    <row r="48" ht="19" customHeight="1">
      <c r="A48" s="104">
        <f>IF(B48="","",ROW()-5)</f>
        <v/>
      </c>
      <c r="B48" s="61" t="n"/>
      <c r="C48" s="61" t="n"/>
      <c r="D48" s="105" t="n"/>
      <c r="E48" s="49" t="n"/>
      <c r="F48" s="105" t="n"/>
      <c r="G48" s="49" t="n"/>
      <c r="H48" s="106" t="n"/>
      <c r="I48" s="107" t="n"/>
      <c r="J48" s="107" t="n"/>
      <c r="K48" s="107" t="n"/>
      <c r="L48" s="107" t="n"/>
      <c r="M48" s="106" t="n"/>
      <c r="N48" s="62" t="n"/>
      <c r="O48" s="49" t="n"/>
      <c r="P48" s="49" t="n"/>
      <c r="Q48" s="105" t="n"/>
      <c r="R48" s="105" t="n"/>
      <c r="S48" s="105" t="n"/>
      <c r="T48" s="105" t="n"/>
      <c r="U48" s="108">
        <f>IF(OR(H48="",I48="",I48=0),"",H48/I48)</f>
        <v/>
      </c>
      <c r="V48" s="109">
        <f>IF(OR(B48="",C48="",L48=""),"",MAX(0,C48-B48))</f>
        <v/>
      </c>
      <c r="W48" s="110">
        <f>IF(OR(L48="",U48=""),"",IF(E48="Short",(I48-L48)*U48,(L48-I48)*U48))</f>
        <v/>
      </c>
      <c r="X48" s="110">
        <f>IF(W48="","",W48-IF(M48="",0,M48))</f>
        <v/>
      </c>
      <c r="Y48" s="111">
        <f>IF(OR(X48="",H48="",H48=0),"",X48/H48)</f>
        <v/>
      </c>
      <c r="Z48" s="112">
        <f>IF(OR(I48="",J48="",U48=""),"",ABS(I48-J48)*U48)</f>
        <v/>
      </c>
      <c r="AA48" s="113">
        <f>IF(OR(X48="",Z48="",Z48=0),"",X48/Z48)</f>
        <v/>
      </c>
      <c r="AB48" s="114">
        <f>IF(OR(I48="",J48="",K48="",I48=J48),"",ABS(K48-I48)/ABS(I48-J48))</f>
        <v/>
      </c>
      <c r="AC48" s="51">
        <f>IF(OR(B48="",D48="",H48="",I48=""),"",IF(L48="","Ouvert",IF(X48&gt;0,"Gagné",IF(X48&lt;0,"Perdu","Neutre"))))</f>
        <v/>
      </c>
      <c r="AD48" s="115">
        <f>IF(X48="","",IF(C48="",B48,C48))</f>
        <v/>
      </c>
      <c r="AE48" s="109">
        <f>IF(B48="","",WEEKDAY(B48,2))</f>
        <v/>
      </c>
      <c r="AF48" s="112">
        <f>IF(X48="","",'Paramètres'!$C$9+SUM($X$6:X48))</f>
        <v/>
      </c>
      <c r="AG48" s="112">
        <f>IF(AF48="","",MAX('Paramètres'!$C$9,MAX($AF$6:AF48)))</f>
        <v/>
      </c>
      <c r="AH48" s="116">
        <f>IF(AF48="","",AF48/AG48-1)</f>
        <v/>
      </c>
      <c r="AI48" s="109">
        <f>IF(X48="","",IF(X48&gt;0,IF(N(AI47)&gt;0,N(AI47)+1,1),IF(X48&lt;0,IF(N(AI47)&lt;0,N(AI47)-1,-1),0)))</f>
        <v/>
      </c>
      <c r="AJ48" s="116">
        <f>IF(Z48="","",IFERROR(Z48/('Paramètres'!$C$9+SUM($X$5:X47)),""))</f>
        <v/>
      </c>
      <c r="AK48" s="109">
        <f>IF(AC48="Ouvert",COUNTIF($AC$6:AC48,"Ouvert"),"")</f>
        <v/>
      </c>
    </row>
    <row r="49" ht="19" customHeight="1">
      <c r="A49" s="104">
        <f>IF(B49="","",ROW()-5)</f>
        <v/>
      </c>
      <c r="B49" s="61" t="n"/>
      <c r="C49" s="61" t="n"/>
      <c r="D49" s="105" t="n"/>
      <c r="E49" s="49" t="n"/>
      <c r="F49" s="105" t="n"/>
      <c r="G49" s="49" t="n"/>
      <c r="H49" s="106" t="n"/>
      <c r="I49" s="107" t="n"/>
      <c r="J49" s="107" t="n"/>
      <c r="K49" s="107" t="n"/>
      <c r="L49" s="107" t="n"/>
      <c r="M49" s="106" t="n"/>
      <c r="N49" s="62" t="n"/>
      <c r="O49" s="49" t="n"/>
      <c r="P49" s="49" t="n"/>
      <c r="Q49" s="105" t="n"/>
      <c r="R49" s="105" t="n"/>
      <c r="S49" s="105" t="n"/>
      <c r="T49" s="105" t="n"/>
      <c r="U49" s="108">
        <f>IF(OR(H49="",I49="",I49=0),"",H49/I49)</f>
        <v/>
      </c>
      <c r="V49" s="109">
        <f>IF(OR(B49="",C49="",L49=""),"",MAX(0,C49-B49))</f>
        <v/>
      </c>
      <c r="W49" s="110">
        <f>IF(OR(L49="",U49=""),"",IF(E49="Short",(I49-L49)*U49,(L49-I49)*U49))</f>
        <v/>
      </c>
      <c r="X49" s="110">
        <f>IF(W49="","",W49-IF(M49="",0,M49))</f>
        <v/>
      </c>
      <c r="Y49" s="111">
        <f>IF(OR(X49="",H49="",H49=0),"",X49/H49)</f>
        <v/>
      </c>
      <c r="Z49" s="112">
        <f>IF(OR(I49="",J49="",U49=""),"",ABS(I49-J49)*U49)</f>
        <v/>
      </c>
      <c r="AA49" s="113">
        <f>IF(OR(X49="",Z49="",Z49=0),"",X49/Z49)</f>
        <v/>
      </c>
      <c r="AB49" s="114">
        <f>IF(OR(I49="",J49="",K49="",I49=J49),"",ABS(K49-I49)/ABS(I49-J49))</f>
        <v/>
      </c>
      <c r="AC49" s="51">
        <f>IF(OR(B49="",D49="",H49="",I49=""),"",IF(L49="","Ouvert",IF(X49&gt;0,"Gagné",IF(X49&lt;0,"Perdu","Neutre"))))</f>
        <v/>
      </c>
      <c r="AD49" s="115">
        <f>IF(X49="","",IF(C49="",B49,C49))</f>
        <v/>
      </c>
      <c r="AE49" s="109">
        <f>IF(B49="","",WEEKDAY(B49,2))</f>
        <v/>
      </c>
      <c r="AF49" s="112">
        <f>IF(X49="","",'Paramètres'!$C$9+SUM($X$6:X49))</f>
        <v/>
      </c>
      <c r="AG49" s="112">
        <f>IF(AF49="","",MAX('Paramètres'!$C$9,MAX($AF$6:AF49)))</f>
        <v/>
      </c>
      <c r="AH49" s="116">
        <f>IF(AF49="","",AF49/AG49-1)</f>
        <v/>
      </c>
      <c r="AI49" s="109">
        <f>IF(X49="","",IF(X49&gt;0,IF(N(AI48)&gt;0,N(AI48)+1,1),IF(X49&lt;0,IF(N(AI48)&lt;0,N(AI48)-1,-1),0)))</f>
        <v/>
      </c>
      <c r="AJ49" s="116">
        <f>IF(Z49="","",IFERROR(Z49/('Paramètres'!$C$9+SUM($X$5:X48)),""))</f>
        <v/>
      </c>
      <c r="AK49" s="109">
        <f>IF(AC49="Ouvert",COUNTIF($AC$6:AC49,"Ouvert"),"")</f>
        <v/>
      </c>
    </row>
    <row r="50" ht="19" customHeight="1">
      <c r="A50" s="104">
        <f>IF(B50="","",ROW()-5)</f>
        <v/>
      </c>
      <c r="B50" s="61" t="n"/>
      <c r="C50" s="61" t="n"/>
      <c r="D50" s="105" t="n"/>
      <c r="E50" s="49" t="n"/>
      <c r="F50" s="105" t="n"/>
      <c r="G50" s="49" t="n"/>
      <c r="H50" s="106" t="n"/>
      <c r="I50" s="107" t="n"/>
      <c r="J50" s="107" t="n"/>
      <c r="K50" s="107" t="n"/>
      <c r="L50" s="107" t="n"/>
      <c r="M50" s="106" t="n"/>
      <c r="N50" s="62" t="n"/>
      <c r="O50" s="49" t="n"/>
      <c r="P50" s="49" t="n"/>
      <c r="Q50" s="105" t="n"/>
      <c r="R50" s="105" t="n"/>
      <c r="S50" s="105" t="n"/>
      <c r="T50" s="105" t="n"/>
      <c r="U50" s="108">
        <f>IF(OR(H50="",I50="",I50=0),"",H50/I50)</f>
        <v/>
      </c>
      <c r="V50" s="109">
        <f>IF(OR(B50="",C50="",L50=""),"",MAX(0,C50-B50))</f>
        <v/>
      </c>
      <c r="W50" s="110">
        <f>IF(OR(L50="",U50=""),"",IF(E50="Short",(I50-L50)*U50,(L50-I50)*U50))</f>
        <v/>
      </c>
      <c r="X50" s="110">
        <f>IF(W50="","",W50-IF(M50="",0,M50))</f>
        <v/>
      </c>
      <c r="Y50" s="111">
        <f>IF(OR(X50="",H50="",H50=0),"",X50/H50)</f>
        <v/>
      </c>
      <c r="Z50" s="112">
        <f>IF(OR(I50="",J50="",U50=""),"",ABS(I50-J50)*U50)</f>
        <v/>
      </c>
      <c r="AA50" s="113">
        <f>IF(OR(X50="",Z50="",Z50=0),"",X50/Z50)</f>
        <v/>
      </c>
      <c r="AB50" s="114">
        <f>IF(OR(I50="",J50="",K50="",I50=J50),"",ABS(K50-I50)/ABS(I50-J50))</f>
        <v/>
      </c>
      <c r="AC50" s="51">
        <f>IF(OR(B50="",D50="",H50="",I50=""),"",IF(L50="","Ouvert",IF(X50&gt;0,"Gagné",IF(X50&lt;0,"Perdu","Neutre"))))</f>
        <v/>
      </c>
      <c r="AD50" s="115">
        <f>IF(X50="","",IF(C50="",B50,C50))</f>
        <v/>
      </c>
      <c r="AE50" s="109">
        <f>IF(B50="","",WEEKDAY(B50,2))</f>
        <v/>
      </c>
      <c r="AF50" s="112">
        <f>IF(X50="","",'Paramètres'!$C$9+SUM($X$6:X50))</f>
        <v/>
      </c>
      <c r="AG50" s="112">
        <f>IF(AF50="","",MAX('Paramètres'!$C$9,MAX($AF$6:AF50)))</f>
        <v/>
      </c>
      <c r="AH50" s="116">
        <f>IF(AF50="","",AF50/AG50-1)</f>
        <v/>
      </c>
      <c r="AI50" s="109">
        <f>IF(X50="","",IF(X50&gt;0,IF(N(AI49)&gt;0,N(AI49)+1,1),IF(X50&lt;0,IF(N(AI49)&lt;0,N(AI49)-1,-1),0)))</f>
        <v/>
      </c>
      <c r="AJ50" s="116">
        <f>IF(Z50="","",IFERROR(Z50/('Paramètres'!$C$9+SUM($X$5:X49)),""))</f>
        <v/>
      </c>
      <c r="AK50" s="109">
        <f>IF(AC50="Ouvert",COUNTIF($AC$6:AC50,"Ouvert"),"")</f>
        <v/>
      </c>
    </row>
    <row r="51" ht="19" customHeight="1">
      <c r="A51" s="104">
        <f>IF(B51="","",ROW()-5)</f>
        <v/>
      </c>
      <c r="B51" s="61" t="n"/>
      <c r="C51" s="61" t="n"/>
      <c r="D51" s="105" t="n"/>
      <c r="E51" s="49" t="n"/>
      <c r="F51" s="105" t="n"/>
      <c r="G51" s="49" t="n"/>
      <c r="H51" s="106" t="n"/>
      <c r="I51" s="107" t="n"/>
      <c r="J51" s="107" t="n"/>
      <c r="K51" s="107" t="n"/>
      <c r="L51" s="107" t="n"/>
      <c r="M51" s="106" t="n"/>
      <c r="N51" s="62" t="n"/>
      <c r="O51" s="49" t="n"/>
      <c r="P51" s="49" t="n"/>
      <c r="Q51" s="105" t="n"/>
      <c r="R51" s="105" t="n"/>
      <c r="S51" s="105" t="n"/>
      <c r="T51" s="105" t="n"/>
      <c r="U51" s="108">
        <f>IF(OR(H51="",I51="",I51=0),"",H51/I51)</f>
        <v/>
      </c>
      <c r="V51" s="109">
        <f>IF(OR(B51="",C51="",L51=""),"",MAX(0,C51-B51))</f>
        <v/>
      </c>
      <c r="W51" s="110">
        <f>IF(OR(L51="",U51=""),"",IF(E51="Short",(I51-L51)*U51,(L51-I51)*U51))</f>
        <v/>
      </c>
      <c r="X51" s="110">
        <f>IF(W51="","",W51-IF(M51="",0,M51))</f>
        <v/>
      </c>
      <c r="Y51" s="111">
        <f>IF(OR(X51="",H51="",H51=0),"",X51/H51)</f>
        <v/>
      </c>
      <c r="Z51" s="112">
        <f>IF(OR(I51="",J51="",U51=""),"",ABS(I51-J51)*U51)</f>
        <v/>
      </c>
      <c r="AA51" s="113">
        <f>IF(OR(X51="",Z51="",Z51=0),"",X51/Z51)</f>
        <v/>
      </c>
      <c r="AB51" s="114">
        <f>IF(OR(I51="",J51="",K51="",I51=J51),"",ABS(K51-I51)/ABS(I51-J51))</f>
        <v/>
      </c>
      <c r="AC51" s="51">
        <f>IF(OR(B51="",D51="",H51="",I51=""),"",IF(L51="","Ouvert",IF(X51&gt;0,"Gagné",IF(X51&lt;0,"Perdu","Neutre"))))</f>
        <v/>
      </c>
      <c r="AD51" s="115">
        <f>IF(X51="","",IF(C51="",B51,C51))</f>
        <v/>
      </c>
      <c r="AE51" s="109">
        <f>IF(B51="","",WEEKDAY(B51,2))</f>
        <v/>
      </c>
      <c r="AF51" s="112">
        <f>IF(X51="","",'Paramètres'!$C$9+SUM($X$6:X51))</f>
        <v/>
      </c>
      <c r="AG51" s="112">
        <f>IF(AF51="","",MAX('Paramètres'!$C$9,MAX($AF$6:AF51)))</f>
        <v/>
      </c>
      <c r="AH51" s="116">
        <f>IF(AF51="","",AF51/AG51-1)</f>
        <v/>
      </c>
      <c r="AI51" s="109">
        <f>IF(X51="","",IF(X51&gt;0,IF(N(AI50)&gt;0,N(AI50)+1,1),IF(X51&lt;0,IF(N(AI50)&lt;0,N(AI50)-1,-1),0)))</f>
        <v/>
      </c>
      <c r="AJ51" s="116">
        <f>IF(Z51="","",IFERROR(Z51/('Paramètres'!$C$9+SUM($X$5:X50)),""))</f>
        <v/>
      </c>
      <c r="AK51" s="109">
        <f>IF(AC51="Ouvert",COUNTIF($AC$6:AC51,"Ouvert"),"")</f>
        <v/>
      </c>
    </row>
    <row r="52" ht="19" customHeight="1">
      <c r="A52" s="104">
        <f>IF(B52="","",ROW()-5)</f>
        <v/>
      </c>
      <c r="B52" s="61" t="n"/>
      <c r="C52" s="61" t="n"/>
      <c r="D52" s="105" t="n"/>
      <c r="E52" s="49" t="n"/>
      <c r="F52" s="105" t="n"/>
      <c r="G52" s="49" t="n"/>
      <c r="H52" s="106" t="n"/>
      <c r="I52" s="107" t="n"/>
      <c r="J52" s="107" t="n"/>
      <c r="K52" s="107" t="n"/>
      <c r="L52" s="107" t="n"/>
      <c r="M52" s="106" t="n"/>
      <c r="N52" s="62" t="n"/>
      <c r="O52" s="49" t="n"/>
      <c r="P52" s="49" t="n"/>
      <c r="Q52" s="105" t="n"/>
      <c r="R52" s="105" t="n"/>
      <c r="S52" s="105" t="n"/>
      <c r="T52" s="105" t="n"/>
      <c r="U52" s="108">
        <f>IF(OR(H52="",I52="",I52=0),"",H52/I52)</f>
        <v/>
      </c>
      <c r="V52" s="109">
        <f>IF(OR(B52="",C52="",L52=""),"",MAX(0,C52-B52))</f>
        <v/>
      </c>
      <c r="W52" s="110">
        <f>IF(OR(L52="",U52=""),"",IF(E52="Short",(I52-L52)*U52,(L52-I52)*U52))</f>
        <v/>
      </c>
      <c r="X52" s="110">
        <f>IF(W52="","",W52-IF(M52="",0,M52))</f>
        <v/>
      </c>
      <c r="Y52" s="111">
        <f>IF(OR(X52="",H52="",H52=0),"",X52/H52)</f>
        <v/>
      </c>
      <c r="Z52" s="112">
        <f>IF(OR(I52="",J52="",U52=""),"",ABS(I52-J52)*U52)</f>
        <v/>
      </c>
      <c r="AA52" s="113">
        <f>IF(OR(X52="",Z52="",Z52=0),"",X52/Z52)</f>
        <v/>
      </c>
      <c r="AB52" s="114">
        <f>IF(OR(I52="",J52="",K52="",I52=J52),"",ABS(K52-I52)/ABS(I52-J52))</f>
        <v/>
      </c>
      <c r="AC52" s="51">
        <f>IF(OR(B52="",D52="",H52="",I52=""),"",IF(L52="","Ouvert",IF(X52&gt;0,"Gagné",IF(X52&lt;0,"Perdu","Neutre"))))</f>
        <v/>
      </c>
      <c r="AD52" s="115">
        <f>IF(X52="","",IF(C52="",B52,C52))</f>
        <v/>
      </c>
      <c r="AE52" s="109">
        <f>IF(B52="","",WEEKDAY(B52,2))</f>
        <v/>
      </c>
      <c r="AF52" s="112">
        <f>IF(X52="","",'Paramètres'!$C$9+SUM($X$6:X52))</f>
        <v/>
      </c>
      <c r="AG52" s="112">
        <f>IF(AF52="","",MAX('Paramètres'!$C$9,MAX($AF$6:AF52)))</f>
        <v/>
      </c>
      <c r="AH52" s="116">
        <f>IF(AF52="","",AF52/AG52-1)</f>
        <v/>
      </c>
      <c r="AI52" s="109">
        <f>IF(X52="","",IF(X52&gt;0,IF(N(AI51)&gt;0,N(AI51)+1,1),IF(X52&lt;0,IF(N(AI51)&lt;0,N(AI51)-1,-1),0)))</f>
        <v/>
      </c>
      <c r="AJ52" s="116">
        <f>IF(Z52="","",IFERROR(Z52/('Paramètres'!$C$9+SUM($X$5:X51)),""))</f>
        <v/>
      </c>
      <c r="AK52" s="109">
        <f>IF(AC52="Ouvert",COUNTIF($AC$6:AC52,"Ouvert"),"")</f>
        <v/>
      </c>
    </row>
    <row r="53" ht="19" customHeight="1">
      <c r="A53" s="104">
        <f>IF(B53="","",ROW()-5)</f>
        <v/>
      </c>
      <c r="B53" s="61" t="n"/>
      <c r="C53" s="61" t="n"/>
      <c r="D53" s="105" t="n"/>
      <c r="E53" s="49" t="n"/>
      <c r="F53" s="105" t="n"/>
      <c r="G53" s="49" t="n"/>
      <c r="H53" s="106" t="n"/>
      <c r="I53" s="107" t="n"/>
      <c r="J53" s="107" t="n"/>
      <c r="K53" s="107" t="n"/>
      <c r="L53" s="107" t="n"/>
      <c r="M53" s="106" t="n"/>
      <c r="N53" s="62" t="n"/>
      <c r="O53" s="49" t="n"/>
      <c r="P53" s="49" t="n"/>
      <c r="Q53" s="105" t="n"/>
      <c r="R53" s="105" t="n"/>
      <c r="S53" s="105" t="n"/>
      <c r="T53" s="105" t="n"/>
      <c r="U53" s="108">
        <f>IF(OR(H53="",I53="",I53=0),"",H53/I53)</f>
        <v/>
      </c>
      <c r="V53" s="109">
        <f>IF(OR(B53="",C53="",L53=""),"",MAX(0,C53-B53))</f>
        <v/>
      </c>
      <c r="W53" s="110">
        <f>IF(OR(L53="",U53=""),"",IF(E53="Short",(I53-L53)*U53,(L53-I53)*U53))</f>
        <v/>
      </c>
      <c r="X53" s="110">
        <f>IF(W53="","",W53-IF(M53="",0,M53))</f>
        <v/>
      </c>
      <c r="Y53" s="111">
        <f>IF(OR(X53="",H53="",H53=0),"",X53/H53)</f>
        <v/>
      </c>
      <c r="Z53" s="112">
        <f>IF(OR(I53="",J53="",U53=""),"",ABS(I53-J53)*U53)</f>
        <v/>
      </c>
      <c r="AA53" s="113">
        <f>IF(OR(X53="",Z53="",Z53=0),"",X53/Z53)</f>
        <v/>
      </c>
      <c r="AB53" s="114">
        <f>IF(OR(I53="",J53="",K53="",I53=J53),"",ABS(K53-I53)/ABS(I53-J53))</f>
        <v/>
      </c>
      <c r="AC53" s="51">
        <f>IF(OR(B53="",D53="",H53="",I53=""),"",IF(L53="","Ouvert",IF(X53&gt;0,"Gagné",IF(X53&lt;0,"Perdu","Neutre"))))</f>
        <v/>
      </c>
      <c r="AD53" s="115">
        <f>IF(X53="","",IF(C53="",B53,C53))</f>
        <v/>
      </c>
      <c r="AE53" s="109">
        <f>IF(B53="","",WEEKDAY(B53,2))</f>
        <v/>
      </c>
      <c r="AF53" s="112">
        <f>IF(X53="","",'Paramètres'!$C$9+SUM($X$6:X53))</f>
        <v/>
      </c>
      <c r="AG53" s="112">
        <f>IF(AF53="","",MAX('Paramètres'!$C$9,MAX($AF$6:AF53)))</f>
        <v/>
      </c>
      <c r="AH53" s="116">
        <f>IF(AF53="","",AF53/AG53-1)</f>
        <v/>
      </c>
      <c r="AI53" s="109">
        <f>IF(X53="","",IF(X53&gt;0,IF(N(AI52)&gt;0,N(AI52)+1,1),IF(X53&lt;0,IF(N(AI52)&lt;0,N(AI52)-1,-1),0)))</f>
        <v/>
      </c>
      <c r="AJ53" s="116">
        <f>IF(Z53="","",IFERROR(Z53/('Paramètres'!$C$9+SUM($X$5:X52)),""))</f>
        <v/>
      </c>
      <c r="AK53" s="109">
        <f>IF(AC53="Ouvert",COUNTIF($AC$6:AC53,"Ouvert"),"")</f>
        <v/>
      </c>
    </row>
    <row r="54" ht="19" customHeight="1">
      <c r="A54" s="104">
        <f>IF(B54="","",ROW()-5)</f>
        <v/>
      </c>
      <c r="B54" s="61" t="n"/>
      <c r="C54" s="61" t="n"/>
      <c r="D54" s="105" t="n"/>
      <c r="E54" s="49" t="n"/>
      <c r="F54" s="105" t="n"/>
      <c r="G54" s="49" t="n"/>
      <c r="H54" s="106" t="n"/>
      <c r="I54" s="107" t="n"/>
      <c r="J54" s="107" t="n"/>
      <c r="K54" s="107" t="n"/>
      <c r="L54" s="107" t="n"/>
      <c r="M54" s="106" t="n"/>
      <c r="N54" s="62" t="n"/>
      <c r="O54" s="49" t="n"/>
      <c r="P54" s="49" t="n"/>
      <c r="Q54" s="105" t="n"/>
      <c r="R54" s="105" t="n"/>
      <c r="S54" s="105" t="n"/>
      <c r="T54" s="105" t="n"/>
      <c r="U54" s="108">
        <f>IF(OR(H54="",I54="",I54=0),"",H54/I54)</f>
        <v/>
      </c>
      <c r="V54" s="109">
        <f>IF(OR(B54="",C54="",L54=""),"",MAX(0,C54-B54))</f>
        <v/>
      </c>
      <c r="W54" s="110">
        <f>IF(OR(L54="",U54=""),"",IF(E54="Short",(I54-L54)*U54,(L54-I54)*U54))</f>
        <v/>
      </c>
      <c r="X54" s="110">
        <f>IF(W54="","",W54-IF(M54="",0,M54))</f>
        <v/>
      </c>
      <c r="Y54" s="111">
        <f>IF(OR(X54="",H54="",H54=0),"",X54/H54)</f>
        <v/>
      </c>
      <c r="Z54" s="112">
        <f>IF(OR(I54="",J54="",U54=""),"",ABS(I54-J54)*U54)</f>
        <v/>
      </c>
      <c r="AA54" s="113">
        <f>IF(OR(X54="",Z54="",Z54=0),"",X54/Z54)</f>
        <v/>
      </c>
      <c r="AB54" s="114">
        <f>IF(OR(I54="",J54="",K54="",I54=J54),"",ABS(K54-I54)/ABS(I54-J54))</f>
        <v/>
      </c>
      <c r="AC54" s="51">
        <f>IF(OR(B54="",D54="",H54="",I54=""),"",IF(L54="","Ouvert",IF(X54&gt;0,"Gagné",IF(X54&lt;0,"Perdu","Neutre"))))</f>
        <v/>
      </c>
      <c r="AD54" s="115">
        <f>IF(X54="","",IF(C54="",B54,C54))</f>
        <v/>
      </c>
      <c r="AE54" s="109">
        <f>IF(B54="","",WEEKDAY(B54,2))</f>
        <v/>
      </c>
      <c r="AF54" s="112">
        <f>IF(X54="","",'Paramètres'!$C$9+SUM($X$6:X54))</f>
        <v/>
      </c>
      <c r="AG54" s="112">
        <f>IF(AF54="","",MAX('Paramètres'!$C$9,MAX($AF$6:AF54)))</f>
        <v/>
      </c>
      <c r="AH54" s="116">
        <f>IF(AF54="","",AF54/AG54-1)</f>
        <v/>
      </c>
      <c r="AI54" s="109">
        <f>IF(X54="","",IF(X54&gt;0,IF(N(AI53)&gt;0,N(AI53)+1,1),IF(X54&lt;0,IF(N(AI53)&lt;0,N(AI53)-1,-1),0)))</f>
        <v/>
      </c>
      <c r="AJ54" s="116">
        <f>IF(Z54="","",IFERROR(Z54/('Paramètres'!$C$9+SUM($X$5:X53)),""))</f>
        <v/>
      </c>
      <c r="AK54" s="109">
        <f>IF(AC54="Ouvert",COUNTIF($AC$6:AC54,"Ouvert"),"")</f>
        <v/>
      </c>
    </row>
    <row r="55" ht="19" customHeight="1">
      <c r="A55" s="104">
        <f>IF(B55="","",ROW()-5)</f>
        <v/>
      </c>
      <c r="B55" s="61" t="n"/>
      <c r="C55" s="61" t="n"/>
      <c r="D55" s="105" t="n"/>
      <c r="E55" s="49" t="n"/>
      <c r="F55" s="105" t="n"/>
      <c r="G55" s="49" t="n"/>
      <c r="H55" s="106" t="n"/>
      <c r="I55" s="107" t="n"/>
      <c r="J55" s="107" t="n"/>
      <c r="K55" s="107" t="n"/>
      <c r="L55" s="107" t="n"/>
      <c r="M55" s="106" t="n"/>
      <c r="N55" s="62" t="n"/>
      <c r="O55" s="49" t="n"/>
      <c r="P55" s="49" t="n"/>
      <c r="Q55" s="105" t="n"/>
      <c r="R55" s="105" t="n"/>
      <c r="S55" s="105" t="n"/>
      <c r="T55" s="105" t="n"/>
      <c r="U55" s="108">
        <f>IF(OR(H55="",I55="",I55=0),"",H55/I55)</f>
        <v/>
      </c>
      <c r="V55" s="109">
        <f>IF(OR(B55="",C55="",L55=""),"",MAX(0,C55-B55))</f>
        <v/>
      </c>
      <c r="W55" s="110">
        <f>IF(OR(L55="",U55=""),"",IF(E55="Short",(I55-L55)*U55,(L55-I55)*U55))</f>
        <v/>
      </c>
      <c r="X55" s="110">
        <f>IF(W55="","",W55-IF(M55="",0,M55))</f>
        <v/>
      </c>
      <c r="Y55" s="111">
        <f>IF(OR(X55="",H55="",H55=0),"",X55/H55)</f>
        <v/>
      </c>
      <c r="Z55" s="112">
        <f>IF(OR(I55="",J55="",U55=""),"",ABS(I55-J55)*U55)</f>
        <v/>
      </c>
      <c r="AA55" s="113">
        <f>IF(OR(X55="",Z55="",Z55=0),"",X55/Z55)</f>
        <v/>
      </c>
      <c r="AB55" s="114">
        <f>IF(OR(I55="",J55="",K55="",I55=J55),"",ABS(K55-I55)/ABS(I55-J55))</f>
        <v/>
      </c>
      <c r="AC55" s="51">
        <f>IF(OR(B55="",D55="",H55="",I55=""),"",IF(L55="","Ouvert",IF(X55&gt;0,"Gagné",IF(X55&lt;0,"Perdu","Neutre"))))</f>
        <v/>
      </c>
      <c r="AD55" s="115">
        <f>IF(X55="","",IF(C55="",B55,C55))</f>
        <v/>
      </c>
      <c r="AE55" s="109">
        <f>IF(B55="","",WEEKDAY(B55,2))</f>
        <v/>
      </c>
      <c r="AF55" s="112">
        <f>IF(X55="","",'Paramètres'!$C$9+SUM($X$6:X55))</f>
        <v/>
      </c>
      <c r="AG55" s="112">
        <f>IF(AF55="","",MAX('Paramètres'!$C$9,MAX($AF$6:AF55)))</f>
        <v/>
      </c>
      <c r="AH55" s="116">
        <f>IF(AF55="","",AF55/AG55-1)</f>
        <v/>
      </c>
      <c r="AI55" s="109">
        <f>IF(X55="","",IF(X55&gt;0,IF(N(AI54)&gt;0,N(AI54)+1,1),IF(X55&lt;0,IF(N(AI54)&lt;0,N(AI54)-1,-1),0)))</f>
        <v/>
      </c>
      <c r="AJ55" s="116">
        <f>IF(Z55="","",IFERROR(Z55/('Paramètres'!$C$9+SUM($X$5:X54)),""))</f>
        <v/>
      </c>
      <c r="AK55" s="109">
        <f>IF(AC55="Ouvert",COUNTIF($AC$6:AC55,"Ouvert"),"")</f>
        <v/>
      </c>
    </row>
    <row r="56" ht="19" customHeight="1">
      <c r="A56" s="104">
        <f>IF(B56="","",ROW()-5)</f>
        <v/>
      </c>
      <c r="B56" s="61" t="n"/>
      <c r="C56" s="61" t="n"/>
      <c r="D56" s="105" t="n"/>
      <c r="E56" s="49" t="n"/>
      <c r="F56" s="105" t="n"/>
      <c r="G56" s="49" t="n"/>
      <c r="H56" s="106" t="n"/>
      <c r="I56" s="107" t="n"/>
      <c r="J56" s="107" t="n"/>
      <c r="K56" s="107" t="n"/>
      <c r="L56" s="107" t="n"/>
      <c r="M56" s="106" t="n"/>
      <c r="N56" s="62" t="n"/>
      <c r="O56" s="49" t="n"/>
      <c r="P56" s="49" t="n"/>
      <c r="Q56" s="105" t="n"/>
      <c r="R56" s="105" t="n"/>
      <c r="S56" s="105" t="n"/>
      <c r="T56" s="105" t="n"/>
      <c r="U56" s="108">
        <f>IF(OR(H56="",I56="",I56=0),"",H56/I56)</f>
        <v/>
      </c>
      <c r="V56" s="109">
        <f>IF(OR(B56="",C56="",L56=""),"",MAX(0,C56-B56))</f>
        <v/>
      </c>
      <c r="W56" s="110">
        <f>IF(OR(L56="",U56=""),"",IF(E56="Short",(I56-L56)*U56,(L56-I56)*U56))</f>
        <v/>
      </c>
      <c r="X56" s="110">
        <f>IF(W56="","",W56-IF(M56="",0,M56))</f>
        <v/>
      </c>
      <c r="Y56" s="111">
        <f>IF(OR(X56="",H56="",H56=0),"",X56/H56)</f>
        <v/>
      </c>
      <c r="Z56" s="112">
        <f>IF(OR(I56="",J56="",U56=""),"",ABS(I56-J56)*U56)</f>
        <v/>
      </c>
      <c r="AA56" s="113">
        <f>IF(OR(X56="",Z56="",Z56=0),"",X56/Z56)</f>
        <v/>
      </c>
      <c r="AB56" s="114">
        <f>IF(OR(I56="",J56="",K56="",I56=J56),"",ABS(K56-I56)/ABS(I56-J56))</f>
        <v/>
      </c>
      <c r="AC56" s="51">
        <f>IF(OR(B56="",D56="",H56="",I56=""),"",IF(L56="","Ouvert",IF(X56&gt;0,"Gagné",IF(X56&lt;0,"Perdu","Neutre"))))</f>
        <v/>
      </c>
      <c r="AD56" s="115">
        <f>IF(X56="","",IF(C56="",B56,C56))</f>
        <v/>
      </c>
      <c r="AE56" s="109">
        <f>IF(B56="","",WEEKDAY(B56,2))</f>
        <v/>
      </c>
      <c r="AF56" s="112">
        <f>IF(X56="","",'Paramètres'!$C$9+SUM($X$6:X56))</f>
        <v/>
      </c>
      <c r="AG56" s="112">
        <f>IF(AF56="","",MAX('Paramètres'!$C$9,MAX($AF$6:AF56)))</f>
        <v/>
      </c>
      <c r="AH56" s="116">
        <f>IF(AF56="","",AF56/AG56-1)</f>
        <v/>
      </c>
      <c r="AI56" s="109">
        <f>IF(X56="","",IF(X56&gt;0,IF(N(AI55)&gt;0,N(AI55)+1,1),IF(X56&lt;0,IF(N(AI55)&lt;0,N(AI55)-1,-1),0)))</f>
        <v/>
      </c>
      <c r="AJ56" s="116">
        <f>IF(Z56="","",IFERROR(Z56/('Paramètres'!$C$9+SUM($X$5:X55)),""))</f>
        <v/>
      </c>
      <c r="AK56" s="109">
        <f>IF(AC56="Ouvert",COUNTIF($AC$6:AC56,"Ouvert"),"")</f>
        <v/>
      </c>
    </row>
    <row r="57" ht="19" customHeight="1">
      <c r="A57" s="104">
        <f>IF(B57="","",ROW()-5)</f>
        <v/>
      </c>
      <c r="B57" s="61" t="n"/>
      <c r="C57" s="61" t="n"/>
      <c r="D57" s="105" t="n"/>
      <c r="E57" s="49" t="n"/>
      <c r="F57" s="105" t="n"/>
      <c r="G57" s="49" t="n"/>
      <c r="H57" s="106" t="n"/>
      <c r="I57" s="107" t="n"/>
      <c r="J57" s="107" t="n"/>
      <c r="K57" s="107" t="n"/>
      <c r="L57" s="107" t="n"/>
      <c r="M57" s="106" t="n"/>
      <c r="N57" s="62" t="n"/>
      <c r="O57" s="49" t="n"/>
      <c r="P57" s="49" t="n"/>
      <c r="Q57" s="105" t="n"/>
      <c r="R57" s="105" t="n"/>
      <c r="S57" s="105" t="n"/>
      <c r="T57" s="105" t="n"/>
      <c r="U57" s="108">
        <f>IF(OR(H57="",I57="",I57=0),"",H57/I57)</f>
        <v/>
      </c>
      <c r="V57" s="109">
        <f>IF(OR(B57="",C57="",L57=""),"",MAX(0,C57-B57))</f>
        <v/>
      </c>
      <c r="W57" s="110">
        <f>IF(OR(L57="",U57=""),"",IF(E57="Short",(I57-L57)*U57,(L57-I57)*U57))</f>
        <v/>
      </c>
      <c r="X57" s="110">
        <f>IF(W57="","",W57-IF(M57="",0,M57))</f>
        <v/>
      </c>
      <c r="Y57" s="111">
        <f>IF(OR(X57="",H57="",H57=0),"",X57/H57)</f>
        <v/>
      </c>
      <c r="Z57" s="112">
        <f>IF(OR(I57="",J57="",U57=""),"",ABS(I57-J57)*U57)</f>
        <v/>
      </c>
      <c r="AA57" s="113">
        <f>IF(OR(X57="",Z57="",Z57=0),"",X57/Z57)</f>
        <v/>
      </c>
      <c r="AB57" s="114">
        <f>IF(OR(I57="",J57="",K57="",I57=J57),"",ABS(K57-I57)/ABS(I57-J57))</f>
        <v/>
      </c>
      <c r="AC57" s="51">
        <f>IF(OR(B57="",D57="",H57="",I57=""),"",IF(L57="","Ouvert",IF(X57&gt;0,"Gagné",IF(X57&lt;0,"Perdu","Neutre"))))</f>
        <v/>
      </c>
      <c r="AD57" s="115">
        <f>IF(X57="","",IF(C57="",B57,C57))</f>
        <v/>
      </c>
      <c r="AE57" s="109">
        <f>IF(B57="","",WEEKDAY(B57,2))</f>
        <v/>
      </c>
      <c r="AF57" s="112">
        <f>IF(X57="","",'Paramètres'!$C$9+SUM($X$6:X57))</f>
        <v/>
      </c>
      <c r="AG57" s="112">
        <f>IF(AF57="","",MAX('Paramètres'!$C$9,MAX($AF$6:AF57)))</f>
        <v/>
      </c>
      <c r="AH57" s="116">
        <f>IF(AF57="","",AF57/AG57-1)</f>
        <v/>
      </c>
      <c r="AI57" s="109">
        <f>IF(X57="","",IF(X57&gt;0,IF(N(AI56)&gt;0,N(AI56)+1,1),IF(X57&lt;0,IF(N(AI56)&lt;0,N(AI56)-1,-1),0)))</f>
        <v/>
      </c>
      <c r="AJ57" s="116">
        <f>IF(Z57="","",IFERROR(Z57/('Paramètres'!$C$9+SUM($X$5:X56)),""))</f>
        <v/>
      </c>
      <c r="AK57" s="109">
        <f>IF(AC57="Ouvert",COUNTIF($AC$6:AC57,"Ouvert"),"")</f>
        <v/>
      </c>
    </row>
    <row r="58" ht="19" customHeight="1">
      <c r="A58" s="104">
        <f>IF(B58="","",ROW()-5)</f>
        <v/>
      </c>
      <c r="B58" s="61" t="n"/>
      <c r="C58" s="61" t="n"/>
      <c r="D58" s="105" t="n"/>
      <c r="E58" s="49" t="n"/>
      <c r="F58" s="105" t="n"/>
      <c r="G58" s="49" t="n"/>
      <c r="H58" s="106" t="n"/>
      <c r="I58" s="107" t="n"/>
      <c r="J58" s="107" t="n"/>
      <c r="K58" s="107" t="n"/>
      <c r="L58" s="107" t="n"/>
      <c r="M58" s="106" t="n"/>
      <c r="N58" s="62" t="n"/>
      <c r="O58" s="49" t="n"/>
      <c r="P58" s="49" t="n"/>
      <c r="Q58" s="105" t="n"/>
      <c r="R58" s="105" t="n"/>
      <c r="S58" s="105" t="n"/>
      <c r="T58" s="105" t="n"/>
      <c r="U58" s="108">
        <f>IF(OR(H58="",I58="",I58=0),"",H58/I58)</f>
        <v/>
      </c>
      <c r="V58" s="109">
        <f>IF(OR(B58="",C58="",L58=""),"",MAX(0,C58-B58))</f>
        <v/>
      </c>
      <c r="W58" s="110">
        <f>IF(OR(L58="",U58=""),"",IF(E58="Short",(I58-L58)*U58,(L58-I58)*U58))</f>
        <v/>
      </c>
      <c r="X58" s="110">
        <f>IF(W58="","",W58-IF(M58="",0,M58))</f>
        <v/>
      </c>
      <c r="Y58" s="111">
        <f>IF(OR(X58="",H58="",H58=0),"",X58/H58)</f>
        <v/>
      </c>
      <c r="Z58" s="112">
        <f>IF(OR(I58="",J58="",U58=""),"",ABS(I58-J58)*U58)</f>
        <v/>
      </c>
      <c r="AA58" s="113">
        <f>IF(OR(X58="",Z58="",Z58=0),"",X58/Z58)</f>
        <v/>
      </c>
      <c r="AB58" s="114">
        <f>IF(OR(I58="",J58="",K58="",I58=J58),"",ABS(K58-I58)/ABS(I58-J58))</f>
        <v/>
      </c>
      <c r="AC58" s="51">
        <f>IF(OR(B58="",D58="",H58="",I58=""),"",IF(L58="","Ouvert",IF(X58&gt;0,"Gagné",IF(X58&lt;0,"Perdu","Neutre"))))</f>
        <v/>
      </c>
      <c r="AD58" s="115">
        <f>IF(X58="","",IF(C58="",B58,C58))</f>
        <v/>
      </c>
      <c r="AE58" s="109">
        <f>IF(B58="","",WEEKDAY(B58,2))</f>
        <v/>
      </c>
      <c r="AF58" s="112">
        <f>IF(X58="","",'Paramètres'!$C$9+SUM($X$6:X58))</f>
        <v/>
      </c>
      <c r="AG58" s="112">
        <f>IF(AF58="","",MAX('Paramètres'!$C$9,MAX($AF$6:AF58)))</f>
        <v/>
      </c>
      <c r="AH58" s="116">
        <f>IF(AF58="","",AF58/AG58-1)</f>
        <v/>
      </c>
      <c r="AI58" s="109">
        <f>IF(X58="","",IF(X58&gt;0,IF(N(AI57)&gt;0,N(AI57)+1,1),IF(X58&lt;0,IF(N(AI57)&lt;0,N(AI57)-1,-1),0)))</f>
        <v/>
      </c>
      <c r="AJ58" s="116">
        <f>IF(Z58="","",IFERROR(Z58/('Paramètres'!$C$9+SUM($X$5:X57)),""))</f>
        <v/>
      </c>
      <c r="AK58" s="109">
        <f>IF(AC58="Ouvert",COUNTIF($AC$6:AC58,"Ouvert"),"")</f>
        <v/>
      </c>
    </row>
    <row r="59" ht="19" customHeight="1">
      <c r="A59" s="104">
        <f>IF(B59="","",ROW()-5)</f>
        <v/>
      </c>
      <c r="B59" s="61" t="n"/>
      <c r="C59" s="61" t="n"/>
      <c r="D59" s="105" t="n"/>
      <c r="E59" s="49" t="n"/>
      <c r="F59" s="105" t="n"/>
      <c r="G59" s="49" t="n"/>
      <c r="H59" s="106" t="n"/>
      <c r="I59" s="107" t="n"/>
      <c r="J59" s="107" t="n"/>
      <c r="K59" s="107" t="n"/>
      <c r="L59" s="107" t="n"/>
      <c r="M59" s="106" t="n"/>
      <c r="N59" s="62" t="n"/>
      <c r="O59" s="49" t="n"/>
      <c r="P59" s="49" t="n"/>
      <c r="Q59" s="105" t="n"/>
      <c r="R59" s="105" t="n"/>
      <c r="S59" s="105" t="n"/>
      <c r="T59" s="105" t="n"/>
      <c r="U59" s="108">
        <f>IF(OR(H59="",I59="",I59=0),"",H59/I59)</f>
        <v/>
      </c>
      <c r="V59" s="109">
        <f>IF(OR(B59="",C59="",L59=""),"",MAX(0,C59-B59))</f>
        <v/>
      </c>
      <c r="W59" s="110">
        <f>IF(OR(L59="",U59=""),"",IF(E59="Short",(I59-L59)*U59,(L59-I59)*U59))</f>
        <v/>
      </c>
      <c r="X59" s="110">
        <f>IF(W59="","",W59-IF(M59="",0,M59))</f>
        <v/>
      </c>
      <c r="Y59" s="111">
        <f>IF(OR(X59="",H59="",H59=0),"",X59/H59)</f>
        <v/>
      </c>
      <c r="Z59" s="112">
        <f>IF(OR(I59="",J59="",U59=""),"",ABS(I59-J59)*U59)</f>
        <v/>
      </c>
      <c r="AA59" s="113">
        <f>IF(OR(X59="",Z59="",Z59=0),"",X59/Z59)</f>
        <v/>
      </c>
      <c r="AB59" s="114">
        <f>IF(OR(I59="",J59="",K59="",I59=J59),"",ABS(K59-I59)/ABS(I59-J59))</f>
        <v/>
      </c>
      <c r="AC59" s="51">
        <f>IF(OR(B59="",D59="",H59="",I59=""),"",IF(L59="","Ouvert",IF(X59&gt;0,"Gagné",IF(X59&lt;0,"Perdu","Neutre"))))</f>
        <v/>
      </c>
      <c r="AD59" s="115">
        <f>IF(X59="","",IF(C59="",B59,C59))</f>
        <v/>
      </c>
      <c r="AE59" s="109">
        <f>IF(B59="","",WEEKDAY(B59,2))</f>
        <v/>
      </c>
      <c r="AF59" s="112">
        <f>IF(X59="","",'Paramètres'!$C$9+SUM($X$6:X59))</f>
        <v/>
      </c>
      <c r="AG59" s="112">
        <f>IF(AF59="","",MAX('Paramètres'!$C$9,MAX($AF$6:AF59)))</f>
        <v/>
      </c>
      <c r="AH59" s="116">
        <f>IF(AF59="","",AF59/AG59-1)</f>
        <v/>
      </c>
      <c r="AI59" s="109">
        <f>IF(X59="","",IF(X59&gt;0,IF(N(AI58)&gt;0,N(AI58)+1,1),IF(X59&lt;0,IF(N(AI58)&lt;0,N(AI58)-1,-1),0)))</f>
        <v/>
      </c>
      <c r="AJ59" s="116">
        <f>IF(Z59="","",IFERROR(Z59/('Paramètres'!$C$9+SUM($X$5:X58)),""))</f>
        <v/>
      </c>
      <c r="AK59" s="109">
        <f>IF(AC59="Ouvert",COUNTIF($AC$6:AC59,"Ouvert"),"")</f>
        <v/>
      </c>
    </row>
    <row r="60" ht="19" customHeight="1">
      <c r="A60" s="104">
        <f>IF(B60="","",ROW()-5)</f>
        <v/>
      </c>
      <c r="B60" s="61" t="n"/>
      <c r="C60" s="61" t="n"/>
      <c r="D60" s="105" t="n"/>
      <c r="E60" s="49" t="n"/>
      <c r="F60" s="105" t="n"/>
      <c r="G60" s="49" t="n"/>
      <c r="H60" s="106" t="n"/>
      <c r="I60" s="107" t="n"/>
      <c r="J60" s="107" t="n"/>
      <c r="K60" s="107" t="n"/>
      <c r="L60" s="107" t="n"/>
      <c r="M60" s="106" t="n"/>
      <c r="N60" s="62" t="n"/>
      <c r="O60" s="49" t="n"/>
      <c r="P60" s="49" t="n"/>
      <c r="Q60" s="105" t="n"/>
      <c r="R60" s="105" t="n"/>
      <c r="S60" s="105" t="n"/>
      <c r="T60" s="105" t="n"/>
      <c r="U60" s="108">
        <f>IF(OR(H60="",I60="",I60=0),"",H60/I60)</f>
        <v/>
      </c>
      <c r="V60" s="109">
        <f>IF(OR(B60="",C60="",L60=""),"",MAX(0,C60-B60))</f>
        <v/>
      </c>
      <c r="W60" s="110">
        <f>IF(OR(L60="",U60=""),"",IF(E60="Short",(I60-L60)*U60,(L60-I60)*U60))</f>
        <v/>
      </c>
      <c r="X60" s="110">
        <f>IF(W60="","",W60-IF(M60="",0,M60))</f>
        <v/>
      </c>
      <c r="Y60" s="111">
        <f>IF(OR(X60="",H60="",H60=0),"",X60/H60)</f>
        <v/>
      </c>
      <c r="Z60" s="112">
        <f>IF(OR(I60="",J60="",U60=""),"",ABS(I60-J60)*U60)</f>
        <v/>
      </c>
      <c r="AA60" s="113">
        <f>IF(OR(X60="",Z60="",Z60=0),"",X60/Z60)</f>
        <v/>
      </c>
      <c r="AB60" s="114">
        <f>IF(OR(I60="",J60="",K60="",I60=J60),"",ABS(K60-I60)/ABS(I60-J60))</f>
        <v/>
      </c>
      <c r="AC60" s="51">
        <f>IF(OR(B60="",D60="",H60="",I60=""),"",IF(L60="","Ouvert",IF(X60&gt;0,"Gagné",IF(X60&lt;0,"Perdu","Neutre"))))</f>
        <v/>
      </c>
      <c r="AD60" s="115">
        <f>IF(X60="","",IF(C60="",B60,C60))</f>
        <v/>
      </c>
      <c r="AE60" s="109">
        <f>IF(B60="","",WEEKDAY(B60,2))</f>
        <v/>
      </c>
      <c r="AF60" s="112">
        <f>IF(X60="","",'Paramètres'!$C$9+SUM($X$6:X60))</f>
        <v/>
      </c>
      <c r="AG60" s="112">
        <f>IF(AF60="","",MAX('Paramètres'!$C$9,MAX($AF$6:AF60)))</f>
        <v/>
      </c>
      <c r="AH60" s="116">
        <f>IF(AF60="","",AF60/AG60-1)</f>
        <v/>
      </c>
      <c r="AI60" s="109">
        <f>IF(X60="","",IF(X60&gt;0,IF(N(AI59)&gt;0,N(AI59)+1,1),IF(X60&lt;0,IF(N(AI59)&lt;0,N(AI59)-1,-1),0)))</f>
        <v/>
      </c>
      <c r="AJ60" s="116">
        <f>IF(Z60="","",IFERROR(Z60/('Paramètres'!$C$9+SUM($X$5:X59)),""))</f>
        <v/>
      </c>
      <c r="AK60" s="109">
        <f>IF(AC60="Ouvert",COUNTIF($AC$6:AC60,"Ouvert"),"")</f>
        <v/>
      </c>
    </row>
    <row r="61" ht="19" customHeight="1">
      <c r="A61" s="104">
        <f>IF(B61="","",ROW()-5)</f>
        <v/>
      </c>
      <c r="B61" s="61" t="n"/>
      <c r="C61" s="61" t="n"/>
      <c r="D61" s="105" t="n"/>
      <c r="E61" s="49" t="n"/>
      <c r="F61" s="105" t="n"/>
      <c r="G61" s="49" t="n"/>
      <c r="H61" s="106" t="n"/>
      <c r="I61" s="107" t="n"/>
      <c r="J61" s="107" t="n"/>
      <c r="K61" s="107" t="n"/>
      <c r="L61" s="107" t="n"/>
      <c r="M61" s="106" t="n"/>
      <c r="N61" s="62" t="n"/>
      <c r="O61" s="49" t="n"/>
      <c r="P61" s="49" t="n"/>
      <c r="Q61" s="105" t="n"/>
      <c r="R61" s="105" t="n"/>
      <c r="S61" s="105" t="n"/>
      <c r="T61" s="105" t="n"/>
      <c r="U61" s="108">
        <f>IF(OR(H61="",I61="",I61=0),"",H61/I61)</f>
        <v/>
      </c>
      <c r="V61" s="109">
        <f>IF(OR(B61="",C61="",L61=""),"",MAX(0,C61-B61))</f>
        <v/>
      </c>
      <c r="W61" s="110">
        <f>IF(OR(L61="",U61=""),"",IF(E61="Short",(I61-L61)*U61,(L61-I61)*U61))</f>
        <v/>
      </c>
      <c r="X61" s="110">
        <f>IF(W61="","",W61-IF(M61="",0,M61))</f>
        <v/>
      </c>
      <c r="Y61" s="111">
        <f>IF(OR(X61="",H61="",H61=0),"",X61/H61)</f>
        <v/>
      </c>
      <c r="Z61" s="112">
        <f>IF(OR(I61="",J61="",U61=""),"",ABS(I61-J61)*U61)</f>
        <v/>
      </c>
      <c r="AA61" s="113">
        <f>IF(OR(X61="",Z61="",Z61=0),"",X61/Z61)</f>
        <v/>
      </c>
      <c r="AB61" s="114">
        <f>IF(OR(I61="",J61="",K61="",I61=J61),"",ABS(K61-I61)/ABS(I61-J61))</f>
        <v/>
      </c>
      <c r="AC61" s="51">
        <f>IF(OR(B61="",D61="",H61="",I61=""),"",IF(L61="","Ouvert",IF(X61&gt;0,"Gagné",IF(X61&lt;0,"Perdu","Neutre"))))</f>
        <v/>
      </c>
      <c r="AD61" s="115">
        <f>IF(X61="","",IF(C61="",B61,C61))</f>
        <v/>
      </c>
      <c r="AE61" s="109">
        <f>IF(B61="","",WEEKDAY(B61,2))</f>
        <v/>
      </c>
      <c r="AF61" s="112">
        <f>IF(X61="","",'Paramètres'!$C$9+SUM($X$6:X61))</f>
        <v/>
      </c>
      <c r="AG61" s="112">
        <f>IF(AF61="","",MAX('Paramètres'!$C$9,MAX($AF$6:AF61)))</f>
        <v/>
      </c>
      <c r="AH61" s="116">
        <f>IF(AF61="","",AF61/AG61-1)</f>
        <v/>
      </c>
      <c r="AI61" s="109">
        <f>IF(X61="","",IF(X61&gt;0,IF(N(AI60)&gt;0,N(AI60)+1,1),IF(X61&lt;0,IF(N(AI60)&lt;0,N(AI60)-1,-1),0)))</f>
        <v/>
      </c>
      <c r="AJ61" s="116">
        <f>IF(Z61="","",IFERROR(Z61/('Paramètres'!$C$9+SUM($X$5:X60)),""))</f>
        <v/>
      </c>
      <c r="AK61" s="109">
        <f>IF(AC61="Ouvert",COUNTIF($AC$6:AC61,"Ouvert"),"")</f>
        <v/>
      </c>
    </row>
    <row r="62" ht="19" customHeight="1">
      <c r="A62" s="104">
        <f>IF(B62="","",ROW()-5)</f>
        <v/>
      </c>
      <c r="B62" s="61" t="n"/>
      <c r="C62" s="61" t="n"/>
      <c r="D62" s="105" t="n"/>
      <c r="E62" s="49" t="n"/>
      <c r="F62" s="105" t="n"/>
      <c r="G62" s="49" t="n"/>
      <c r="H62" s="106" t="n"/>
      <c r="I62" s="107" t="n"/>
      <c r="J62" s="107" t="n"/>
      <c r="K62" s="107" t="n"/>
      <c r="L62" s="107" t="n"/>
      <c r="M62" s="106" t="n"/>
      <c r="N62" s="62" t="n"/>
      <c r="O62" s="49" t="n"/>
      <c r="P62" s="49" t="n"/>
      <c r="Q62" s="105" t="n"/>
      <c r="R62" s="105" t="n"/>
      <c r="S62" s="105" t="n"/>
      <c r="T62" s="105" t="n"/>
      <c r="U62" s="108">
        <f>IF(OR(H62="",I62="",I62=0),"",H62/I62)</f>
        <v/>
      </c>
      <c r="V62" s="109">
        <f>IF(OR(B62="",C62="",L62=""),"",MAX(0,C62-B62))</f>
        <v/>
      </c>
      <c r="W62" s="110">
        <f>IF(OR(L62="",U62=""),"",IF(E62="Short",(I62-L62)*U62,(L62-I62)*U62))</f>
        <v/>
      </c>
      <c r="X62" s="110">
        <f>IF(W62="","",W62-IF(M62="",0,M62))</f>
        <v/>
      </c>
      <c r="Y62" s="111">
        <f>IF(OR(X62="",H62="",H62=0),"",X62/H62)</f>
        <v/>
      </c>
      <c r="Z62" s="112">
        <f>IF(OR(I62="",J62="",U62=""),"",ABS(I62-J62)*U62)</f>
        <v/>
      </c>
      <c r="AA62" s="113">
        <f>IF(OR(X62="",Z62="",Z62=0),"",X62/Z62)</f>
        <v/>
      </c>
      <c r="AB62" s="114">
        <f>IF(OR(I62="",J62="",K62="",I62=J62),"",ABS(K62-I62)/ABS(I62-J62))</f>
        <v/>
      </c>
      <c r="AC62" s="51">
        <f>IF(OR(B62="",D62="",H62="",I62=""),"",IF(L62="","Ouvert",IF(X62&gt;0,"Gagné",IF(X62&lt;0,"Perdu","Neutre"))))</f>
        <v/>
      </c>
      <c r="AD62" s="115">
        <f>IF(X62="","",IF(C62="",B62,C62))</f>
        <v/>
      </c>
      <c r="AE62" s="109">
        <f>IF(B62="","",WEEKDAY(B62,2))</f>
        <v/>
      </c>
      <c r="AF62" s="112">
        <f>IF(X62="","",'Paramètres'!$C$9+SUM($X$6:X62))</f>
        <v/>
      </c>
      <c r="AG62" s="112">
        <f>IF(AF62="","",MAX('Paramètres'!$C$9,MAX($AF$6:AF62)))</f>
        <v/>
      </c>
      <c r="AH62" s="116">
        <f>IF(AF62="","",AF62/AG62-1)</f>
        <v/>
      </c>
      <c r="AI62" s="109">
        <f>IF(X62="","",IF(X62&gt;0,IF(N(AI61)&gt;0,N(AI61)+1,1),IF(X62&lt;0,IF(N(AI61)&lt;0,N(AI61)-1,-1),0)))</f>
        <v/>
      </c>
      <c r="AJ62" s="116">
        <f>IF(Z62="","",IFERROR(Z62/('Paramètres'!$C$9+SUM($X$5:X61)),""))</f>
        <v/>
      </c>
      <c r="AK62" s="109">
        <f>IF(AC62="Ouvert",COUNTIF($AC$6:AC62,"Ouvert"),"")</f>
        <v/>
      </c>
    </row>
    <row r="63" ht="19" customHeight="1">
      <c r="A63" s="104">
        <f>IF(B63="","",ROW()-5)</f>
        <v/>
      </c>
      <c r="B63" s="61" t="n"/>
      <c r="C63" s="61" t="n"/>
      <c r="D63" s="105" t="n"/>
      <c r="E63" s="49" t="n"/>
      <c r="F63" s="105" t="n"/>
      <c r="G63" s="49" t="n"/>
      <c r="H63" s="106" t="n"/>
      <c r="I63" s="107" t="n"/>
      <c r="J63" s="107" t="n"/>
      <c r="K63" s="107" t="n"/>
      <c r="L63" s="107" t="n"/>
      <c r="M63" s="106" t="n"/>
      <c r="N63" s="62" t="n"/>
      <c r="O63" s="49" t="n"/>
      <c r="P63" s="49" t="n"/>
      <c r="Q63" s="105" t="n"/>
      <c r="R63" s="105" t="n"/>
      <c r="S63" s="105" t="n"/>
      <c r="T63" s="105" t="n"/>
      <c r="U63" s="108">
        <f>IF(OR(H63="",I63="",I63=0),"",H63/I63)</f>
        <v/>
      </c>
      <c r="V63" s="109">
        <f>IF(OR(B63="",C63="",L63=""),"",MAX(0,C63-B63))</f>
        <v/>
      </c>
      <c r="W63" s="110">
        <f>IF(OR(L63="",U63=""),"",IF(E63="Short",(I63-L63)*U63,(L63-I63)*U63))</f>
        <v/>
      </c>
      <c r="X63" s="110">
        <f>IF(W63="","",W63-IF(M63="",0,M63))</f>
        <v/>
      </c>
      <c r="Y63" s="111">
        <f>IF(OR(X63="",H63="",H63=0),"",X63/H63)</f>
        <v/>
      </c>
      <c r="Z63" s="112">
        <f>IF(OR(I63="",J63="",U63=""),"",ABS(I63-J63)*U63)</f>
        <v/>
      </c>
      <c r="AA63" s="113">
        <f>IF(OR(X63="",Z63="",Z63=0),"",X63/Z63)</f>
        <v/>
      </c>
      <c r="AB63" s="114">
        <f>IF(OR(I63="",J63="",K63="",I63=J63),"",ABS(K63-I63)/ABS(I63-J63))</f>
        <v/>
      </c>
      <c r="AC63" s="51">
        <f>IF(OR(B63="",D63="",H63="",I63=""),"",IF(L63="","Ouvert",IF(X63&gt;0,"Gagné",IF(X63&lt;0,"Perdu","Neutre"))))</f>
        <v/>
      </c>
      <c r="AD63" s="115">
        <f>IF(X63="","",IF(C63="",B63,C63))</f>
        <v/>
      </c>
      <c r="AE63" s="109">
        <f>IF(B63="","",WEEKDAY(B63,2))</f>
        <v/>
      </c>
      <c r="AF63" s="112">
        <f>IF(X63="","",'Paramètres'!$C$9+SUM($X$6:X63))</f>
        <v/>
      </c>
      <c r="AG63" s="112">
        <f>IF(AF63="","",MAX('Paramètres'!$C$9,MAX($AF$6:AF63)))</f>
        <v/>
      </c>
      <c r="AH63" s="116">
        <f>IF(AF63="","",AF63/AG63-1)</f>
        <v/>
      </c>
      <c r="AI63" s="109">
        <f>IF(X63="","",IF(X63&gt;0,IF(N(AI62)&gt;0,N(AI62)+1,1),IF(X63&lt;0,IF(N(AI62)&lt;0,N(AI62)-1,-1),0)))</f>
        <v/>
      </c>
      <c r="AJ63" s="116">
        <f>IF(Z63="","",IFERROR(Z63/('Paramètres'!$C$9+SUM($X$5:X62)),""))</f>
        <v/>
      </c>
      <c r="AK63" s="109">
        <f>IF(AC63="Ouvert",COUNTIF($AC$6:AC63,"Ouvert"),"")</f>
        <v/>
      </c>
    </row>
    <row r="64" ht="19" customHeight="1">
      <c r="A64" s="104">
        <f>IF(B64="","",ROW()-5)</f>
        <v/>
      </c>
      <c r="B64" s="61" t="n"/>
      <c r="C64" s="61" t="n"/>
      <c r="D64" s="105" t="n"/>
      <c r="E64" s="49" t="n"/>
      <c r="F64" s="105" t="n"/>
      <c r="G64" s="49" t="n"/>
      <c r="H64" s="106" t="n"/>
      <c r="I64" s="107" t="n"/>
      <c r="J64" s="107" t="n"/>
      <c r="K64" s="107" t="n"/>
      <c r="L64" s="107" t="n"/>
      <c r="M64" s="106" t="n"/>
      <c r="N64" s="62" t="n"/>
      <c r="O64" s="49" t="n"/>
      <c r="P64" s="49" t="n"/>
      <c r="Q64" s="105" t="n"/>
      <c r="R64" s="105" t="n"/>
      <c r="S64" s="105" t="n"/>
      <c r="T64" s="105" t="n"/>
      <c r="U64" s="108">
        <f>IF(OR(H64="",I64="",I64=0),"",H64/I64)</f>
        <v/>
      </c>
      <c r="V64" s="109">
        <f>IF(OR(B64="",C64="",L64=""),"",MAX(0,C64-B64))</f>
        <v/>
      </c>
      <c r="W64" s="110">
        <f>IF(OR(L64="",U64=""),"",IF(E64="Short",(I64-L64)*U64,(L64-I64)*U64))</f>
        <v/>
      </c>
      <c r="X64" s="110">
        <f>IF(W64="","",W64-IF(M64="",0,M64))</f>
        <v/>
      </c>
      <c r="Y64" s="111">
        <f>IF(OR(X64="",H64="",H64=0),"",X64/H64)</f>
        <v/>
      </c>
      <c r="Z64" s="112">
        <f>IF(OR(I64="",J64="",U64=""),"",ABS(I64-J64)*U64)</f>
        <v/>
      </c>
      <c r="AA64" s="113">
        <f>IF(OR(X64="",Z64="",Z64=0),"",X64/Z64)</f>
        <v/>
      </c>
      <c r="AB64" s="114">
        <f>IF(OR(I64="",J64="",K64="",I64=J64),"",ABS(K64-I64)/ABS(I64-J64))</f>
        <v/>
      </c>
      <c r="AC64" s="51">
        <f>IF(OR(B64="",D64="",H64="",I64=""),"",IF(L64="","Ouvert",IF(X64&gt;0,"Gagné",IF(X64&lt;0,"Perdu","Neutre"))))</f>
        <v/>
      </c>
      <c r="AD64" s="115">
        <f>IF(X64="","",IF(C64="",B64,C64))</f>
        <v/>
      </c>
      <c r="AE64" s="109">
        <f>IF(B64="","",WEEKDAY(B64,2))</f>
        <v/>
      </c>
      <c r="AF64" s="112">
        <f>IF(X64="","",'Paramètres'!$C$9+SUM($X$6:X64))</f>
        <v/>
      </c>
      <c r="AG64" s="112">
        <f>IF(AF64="","",MAX('Paramètres'!$C$9,MAX($AF$6:AF64)))</f>
        <v/>
      </c>
      <c r="AH64" s="116">
        <f>IF(AF64="","",AF64/AG64-1)</f>
        <v/>
      </c>
      <c r="AI64" s="109">
        <f>IF(X64="","",IF(X64&gt;0,IF(N(AI63)&gt;0,N(AI63)+1,1),IF(X64&lt;0,IF(N(AI63)&lt;0,N(AI63)-1,-1),0)))</f>
        <v/>
      </c>
      <c r="AJ64" s="116">
        <f>IF(Z64="","",IFERROR(Z64/('Paramètres'!$C$9+SUM($X$5:X63)),""))</f>
        <v/>
      </c>
      <c r="AK64" s="109">
        <f>IF(AC64="Ouvert",COUNTIF($AC$6:AC64,"Ouvert"),"")</f>
        <v/>
      </c>
    </row>
    <row r="65" ht="19" customHeight="1">
      <c r="A65" s="104">
        <f>IF(B65="","",ROW()-5)</f>
        <v/>
      </c>
      <c r="B65" s="61" t="n"/>
      <c r="C65" s="61" t="n"/>
      <c r="D65" s="105" t="n"/>
      <c r="E65" s="49" t="n"/>
      <c r="F65" s="105" t="n"/>
      <c r="G65" s="49" t="n"/>
      <c r="H65" s="106" t="n"/>
      <c r="I65" s="107" t="n"/>
      <c r="J65" s="107" t="n"/>
      <c r="K65" s="107" t="n"/>
      <c r="L65" s="107" t="n"/>
      <c r="M65" s="106" t="n"/>
      <c r="N65" s="62" t="n"/>
      <c r="O65" s="49" t="n"/>
      <c r="P65" s="49" t="n"/>
      <c r="Q65" s="105" t="n"/>
      <c r="R65" s="105" t="n"/>
      <c r="S65" s="105" t="n"/>
      <c r="T65" s="105" t="n"/>
      <c r="U65" s="108">
        <f>IF(OR(H65="",I65="",I65=0),"",H65/I65)</f>
        <v/>
      </c>
      <c r="V65" s="109">
        <f>IF(OR(B65="",C65="",L65=""),"",MAX(0,C65-B65))</f>
        <v/>
      </c>
      <c r="W65" s="110">
        <f>IF(OR(L65="",U65=""),"",IF(E65="Short",(I65-L65)*U65,(L65-I65)*U65))</f>
        <v/>
      </c>
      <c r="X65" s="110">
        <f>IF(W65="","",W65-IF(M65="",0,M65))</f>
        <v/>
      </c>
      <c r="Y65" s="111">
        <f>IF(OR(X65="",H65="",H65=0),"",X65/H65)</f>
        <v/>
      </c>
      <c r="Z65" s="112">
        <f>IF(OR(I65="",J65="",U65=""),"",ABS(I65-J65)*U65)</f>
        <v/>
      </c>
      <c r="AA65" s="113">
        <f>IF(OR(X65="",Z65="",Z65=0),"",X65/Z65)</f>
        <v/>
      </c>
      <c r="AB65" s="114">
        <f>IF(OR(I65="",J65="",K65="",I65=J65),"",ABS(K65-I65)/ABS(I65-J65))</f>
        <v/>
      </c>
      <c r="AC65" s="51">
        <f>IF(OR(B65="",D65="",H65="",I65=""),"",IF(L65="","Ouvert",IF(X65&gt;0,"Gagné",IF(X65&lt;0,"Perdu","Neutre"))))</f>
        <v/>
      </c>
      <c r="AD65" s="115">
        <f>IF(X65="","",IF(C65="",B65,C65))</f>
        <v/>
      </c>
      <c r="AE65" s="109">
        <f>IF(B65="","",WEEKDAY(B65,2))</f>
        <v/>
      </c>
      <c r="AF65" s="112">
        <f>IF(X65="","",'Paramètres'!$C$9+SUM($X$6:X65))</f>
        <v/>
      </c>
      <c r="AG65" s="112">
        <f>IF(AF65="","",MAX('Paramètres'!$C$9,MAX($AF$6:AF65)))</f>
        <v/>
      </c>
      <c r="AH65" s="116">
        <f>IF(AF65="","",AF65/AG65-1)</f>
        <v/>
      </c>
      <c r="AI65" s="109">
        <f>IF(X65="","",IF(X65&gt;0,IF(N(AI64)&gt;0,N(AI64)+1,1),IF(X65&lt;0,IF(N(AI64)&lt;0,N(AI64)-1,-1),0)))</f>
        <v/>
      </c>
      <c r="AJ65" s="116">
        <f>IF(Z65="","",IFERROR(Z65/('Paramètres'!$C$9+SUM($X$5:X64)),""))</f>
        <v/>
      </c>
      <c r="AK65" s="109">
        <f>IF(AC65="Ouvert",COUNTIF($AC$6:AC65,"Ouvert"),"")</f>
        <v/>
      </c>
    </row>
    <row r="66" ht="19" customHeight="1">
      <c r="A66" s="104">
        <f>IF(B66="","",ROW()-5)</f>
        <v/>
      </c>
      <c r="B66" s="61" t="n"/>
      <c r="C66" s="61" t="n"/>
      <c r="D66" s="105" t="n"/>
      <c r="E66" s="49" t="n"/>
      <c r="F66" s="105" t="n"/>
      <c r="G66" s="49" t="n"/>
      <c r="H66" s="106" t="n"/>
      <c r="I66" s="107" t="n"/>
      <c r="J66" s="107" t="n"/>
      <c r="K66" s="107" t="n"/>
      <c r="L66" s="107" t="n"/>
      <c r="M66" s="106" t="n"/>
      <c r="N66" s="62" t="n"/>
      <c r="O66" s="49" t="n"/>
      <c r="P66" s="49" t="n"/>
      <c r="Q66" s="105" t="n"/>
      <c r="R66" s="105" t="n"/>
      <c r="S66" s="105" t="n"/>
      <c r="T66" s="105" t="n"/>
      <c r="U66" s="108">
        <f>IF(OR(H66="",I66="",I66=0),"",H66/I66)</f>
        <v/>
      </c>
      <c r="V66" s="109">
        <f>IF(OR(B66="",C66="",L66=""),"",MAX(0,C66-B66))</f>
        <v/>
      </c>
      <c r="W66" s="110">
        <f>IF(OR(L66="",U66=""),"",IF(E66="Short",(I66-L66)*U66,(L66-I66)*U66))</f>
        <v/>
      </c>
      <c r="X66" s="110">
        <f>IF(W66="","",W66-IF(M66="",0,M66))</f>
        <v/>
      </c>
      <c r="Y66" s="111">
        <f>IF(OR(X66="",H66="",H66=0),"",X66/H66)</f>
        <v/>
      </c>
      <c r="Z66" s="112">
        <f>IF(OR(I66="",J66="",U66=""),"",ABS(I66-J66)*U66)</f>
        <v/>
      </c>
      <c r="AA66" s="113">
        <f>IF(OR(X66="",Z66="",Z66=0),"",X66/Z66)</f>
        <v/>
      </c>
      <c r="AB66" s="114">
        <f>IF(OR(I66="",J66="",K66="",I66=J66),"",ABS(K66-I66)/ABS(I66-J66))</f>
        <v/>
      </c>
      <c r="AC66" s="51">
        <f>IF(OR(B66="",D66="",H66="",I66=""),"",IF(L66="","Ouvert",IF(X66&gt;0,"Gagné",IF(X66&lt;0,"Perdu","Neutre"))))</f>
        <v/>
      </c>
      <c r="AD66" s="115">
        <f>IF(X66="","",IF(C66="",B66,C66))</f>
        <v/>
      </c>
      <c r="AE66" s="109">
        <f>IF(B66="","",WEEKDAY(B66,2))</f>
        <v/>
      </c>
      <c r="AF66" s="112">
        <f>IF(X66="","",'Paramètres'!$C$9+SUM($X$6:X66))</f>
        <v/>
      </c>
      <c r="AG66" s="112">
        <f>IF(AF66="","",MAX('Paramètres'!$C$9,MAX($AF$6:AF66)))</f>
        <v/>
      </c>
      <c r="AH66" s="116">
        <f>IF(AF66="","",AF66/AG66-1)</f>
        <v/>
      </c>
      <c r="AI66" s="109">
        <f>IF(X66="","",IF(X66&gt;0,IF(N(AI65)&gt;0,N(AI65)+1,1),IF(X66&lt;0,IF(N(AI65)&lt;0,N(AI65)-1,-1),0)))</f>
        <v/>
      </c>
      <c r="AJ66" s="116">
        <f>IF(Z66="","",IFERROR(Z66/('Paramètres'!$C$9+SUM($X$5:X65)),""))</f>
        <v/>
      </c>
      <c r="AK66" s="109">
        <f>IF(AC66="Ouvert",COUNTIF($AC$6:AC66,"Ouvert"),"")</f>
        <v/>
      </c>
    </row>
    <row r="67" ht="19" customHeight="1">
      <c r="A67" s="104">
        <f>IF(B67="","",ROW()-5)</f>
        <v/>
      </c>
      <c r="B67" s="61" t="n"/>
      <c r="C67" s="61" t="n"/>
      <c r="D67" s="105" t="n"/>
      <c r="E67" s="49" t="n"/>
      <c r="F67" s="105" t="n"/>
      <c r="G67" s="49" t="n"/>
      <c r="H67" s="106" t="n"/>
      <c r="I67" s="107" t="n"/>
      <c r="J67" s="107" t="n"/>
      <c r="K67" s="107" t="n"/>
      <c r="L67" s="107" t="n"/>
      <c r="M67" s="106" t="n"/>
      <c r="N67" s="62" t="n"/>
      <c r="O67" s="49" t="n"/>
      <c r="P67" s="49" t="n"/>
      <c r="Q67" s="105" t="n"/>
      <c r="R67" s="105" t="n"/>
      <c r="S67" s="105" t="n"/>
      <c r="T67" s="105" t="n"/>
      <c r="U67" s="108">
        <f>IF(OR(H67="",I67="",I67=0),"",H67/I67)</f>
        <v/>
      </c>
      <c r="V67" s="109">
        <f>IF(OR(B67="",C67="",L67=""),"",MAX(0,C67-B67))</f>
        <v/>
      </c>
      <c r="W67" s="110">
        <f>IF(OR(L67="",U67=""),"",IF(E67="Short",(I67-L67)*U67,(L67-I67)*U67))</f>
        <v/>
      </c>
      <c r="X67" s="110">
        <f>IF(W67="","",W67-IF(M67="",0,M67))</f>
        <v/>
      </c>
      <c r="Y67" s="111">
        <f>IF(OR(X67="",H67="",H67=0),"",X67/H67)</f>
        <v/>
      </c>
      <c r="Z67" s="112">
        <f>IF(OR(I67="",J67="",U67=""),"",ABS(I67-J67)*U67)</f>
        <v/>
      </c>
      <c r="AA67" s="113">
        <f>IF(OR(X67="",Z67="",Z67=0),"",X67/Z67)</f>
        <v/>
      </c>
      <c r="AB67" s="114">
        <f>IF(OR(I67="",J67="",K67="",I67=J67),"",ABS(K67-I67)/ABS(I67-J67))</f>
        <v/>
      </c>
      <c r="AC67" s="51">
        <f>IF(OR(B67="",D67="",H67="",I67=""),"",IF(L67="","Ouvert",IF(X67&gt;0,"Gagné",IF(X67&lt;0,"Perdu","Neutre"))))</f>
        <v/>
      </c>
      <c r="AD67" s="115">
        <f>IF(X67="","",IF(C67="",B67,C67))</f>
        <v/>
      </c>
      <c r="AE67" s="109">
        <f>IF(B67="","",WEEKDAY(B67,2))</f>
        <v/>
      </c>
      <c r="AF67" s="112">
        <f>IF(X67="","",'Paramètres'!$C$9+SUM($X$6:X67))</f>
        <v/>
      </c>
      <c r="AG67" s="112">
        <f>IF(AF67="","",MAX('Paramètres'!$C$9,MAX($AF$6:AF67)))</f>
        <v/>
      </c>
      <c r="AH67" s="116">
        <f>IF(AF67="","",AF67/AG67-1)</f>
        <v/>
      </c>
      <c r="AI67" s="109">
        <f>IF(X67="","",IF(X67&gt;0,IF(N(AI66)&gt;0,N(AI66)+1,1),IF(X67&lt;0,IF(N(AI66)&lt;0,N(AI66)-1,-1),0)))</f>
        <v/>
      </c>
      <c r="AJ67" s="116">
        <f>IF(Z67="","",IFERROR(Z67/('Paramètres'!$C$9+SUM($X$5:X66)),""))</f>
        <v/>
      </c>
      <c r="AK67" s="109">
        <f>IF(AC67="Ouvert",COUNTIF($AC$6:AC67,"Ouvert"),"")</f>
        <v/>
      </c>
    </row>
    <row r="68" ht="19" customHeight="1">
      <c r="A68" s="104">
        <f>IF(B68="","",ROW()-5)</f>
        <v/>
      </c>
      <c r="B68" s="61" t="n"/>
      <c r="C68" s="61" t="n"/>
      <c r="D68" s="105" t="n"/>
      <c r="E68" s="49" t="n"/>
      <c r="F68" s="105" t="n"/>
      <c r="G68" s="49" t="n"/>
      <c r="H68" s="106" t="n"/>
      <c r="I68" s="107" t="n"/>
      <c r="J68" s="107" t="n"/>
      <c r="K68" s="107" t="n"/>
      <c r="L68" s="107" t="n"/>
      <c r="M68" s="106" t="n"/>
      <c r="N68" s="62" t="n"/>
      <c r="O68" s="49" t="n"/>
      <c r="P68" s="49" t="n"/>
      <c r="Q68" s="105" t="n"/>
      <c r="R68" s="105" t="n"/>
      <c r="S68" s="105" t="n"/>
      <c r="T68" s="105" t="n"/>
      <c r="U68" s="108">
        <f>IF(OR(H68="",I68="",I68=0),"",H68/I68)</f>
        <v/>
      </c>
      <c r="V68" s="109">
        <f>IF(OR(B68="",C68="",L68=""),"",MAX(0,C68-B68))</f>
        <v/>
      </c>
      <c r="W68" s="110">
        <f>IF(OR(L68="",U68=""),"",IF(E68="Short",(I68-L68)*U68,(L68-I68)*U68))</f>
        <v/>
      </c>
      <c r="X68" s="110">
        <f>IF(W68="","",W68-IF(M68="",0,M68))</f>
        <v/>
      </c>
      <c r="Y68" s="111">
        <f>IF(OR(X68="",H68="",H68=0),"",X68/H68)</f>
        <v/>
      </c>
      <c r="Z68" s="112">
        <f>IF(OR(I68="",J68="",U68=""),"",ABS(I68-J68)*U68)</f>
        <v/>
      </c>
      <c r="AA68" s="113">
        <f>IF(OR(X68="",Z68="",Z68=0),"",X68/Z68)</f>
        <v/>
      </c>
      <c r="AB68" s="114">
        <f>IF(OR(I68="",J68="",K68="",I68=J68),"",ABS(K68-I68)/ABS(I68-J68))</f>
        <v/>
      </c>
      <c r="AC68" s="51">
        <f>IF(OR(B68="",D68="",H68="",I68=""),"",IF(L68="","Ouvert",IF(X68&gt;0,"Gagné",IF(X68&lt;0,"Perdu","Neutre"))))</f>
        <v/>
      </c>
      <c r="AD68" s="115">
        <f>IF(X68="","",IF(C68="",B68,C68))</f>
        <v/>
      </c>
      <c r="AE68" s="109">
        <f>IF(B68="","",WEEKDAY(B68,2))</f>
        <v/>
      </c>
      <c r="AF68" s="112">
        <f>IF(X68="","",'Paramètres'!$C$9+SUM($X$6:X68))</f>
        <v/>
      </c>
      <c r="AG68" s="112">
        <f>IF(AF68="","",MAX('Paramètres'!$C$9,MAX($AF$6:AF68)))</f>
        <v/>
      </c>
      <c r="AH68" s="116">
        <f>IF(AF68="","",AF68/AG68-1)</f>
        <v/>
      </c>
      <c r="AI68" s="109">
        <f>IF(X68="","",IF(X68&gt;0,IF(N(AI67)&gt;0,N(AI67)+1,1),IF(X68&lt;0,IF(N(AI67)&lt;0,N(AI67)-1,-1),0)))</f>
        <v/>
      </c>
      <c r="AJ68" s="116">
        <f>IF(Z68="","",IFERROR(Z68/('Paramètres'!$C$9+SUM($X$5:X67)),""))</f>
        <v/>
      </c>
      <c r="AK68" s="109">
        <f>IF(AC68="Ouvert",COUNTIF($AC$6:AC68,"Ouvert"),"")</f>
        <v/>
      </c>
    </row>
    <row r="69" ht="19" customHeight="1">
      <c r="A69" s="104">
        <f>IF(B69="","",ROW()-5)</f>
        <v/>
      </c>
      <c r="B69" s="61" t="n"/>
      <c r="C69" s="61" t="n"/>
      <c r="D69" s="105" t="n"/>
      <c r="E69" s="49" t="n"/>
      <c r="F69" s="105" t="n"/>
      <c r="G69" s="49" t="n"/>
      <c r="H69" s="106" t="n"/>
      <c r="I69" s="107" t="n"/>
      <c r="J69" s="107" t="n"/>
      <c r="K69" s="107" t="n"/>
      <c r="L69" s="107" t="n"/>
      <c r="M69" s="106" t="n"/>
      <c r="N69" s="62" t="n"/>
      <c r="O69" s="49" t="n"/>
      <c r="P69" s="49" t="n"/>
      <c r="Q69" s="105" t="n"/>
      <c r="R69" s="105" t="n"/>
      <c r="S69" s="105" t="n"/>
      <c r="T69" s="105" t="n"/>
      <c r="U69" s="108">
        <f>IF(OR(H69="",I69="",I69=0),"",H69/I69)</f>
        <v/>
      </c>
      <c r="V69" s="109">
        <f>IF(OR(B69="",C69="",L69=""),"",MAX(0,C69-B69))</f>
        <v/>
      </c>
      <c r="W69" s="110">
        <f>IF(OR(L69="",U69=""),"",IF(E69="Short",(I69-L69)*U69,(L69-I69)*U69))</f>
        <v/>
      </c>
      <c r="X69" s="110">
        <f>IF(W69="","",W69-IF(M69="",0,M69))</f>
        <v/>
      </c>
      <c r="Y69" s="111">
        <f>IF(OR(X69="",H69="",H69=0),"",X69/H69)</f>
        <v/>
      </c>
      <c r="Z69" s="112">
        <f>IF(OR(I69="",J69="",U69=""),"",ABS(I69-J69)*U69)</f>
        <v/>
      </c>
      <c r="AA69" s="113">
        <f>IF(OR(X69="",Z69="",Z69=0),"",X69/Z69)</f>
        <v/>
      </c>
      <c r="AB69" s="114">
        <f>IF(OR(I69="",J69="",K69="",I69=J69),"",ABS(K69-I69)/ABS(I69-J69))</f>
        <v/>
      </c>
      <c r="AC69" s="51">
        <f>IF(OR(B69="",D69="",H69="",I69=""),"",IF(L69="","Ouvert",IF(X69&gt;0,"Gagné",IF(X69&lt;0,"Perdu","Neutre"))))</f>
        <v/>
      </c>
      <c r="AD69" s="115">
        <f>IF(X69="","",IF(C69="",B69,C69))</f>
        <v/>
      </c>
      <c r="AE69" s="109">
        <f>IF(B69="","",WEEKDAY(B69,2))</f>
        <v/>
      </c>
      <c r="AF69" s="112">
        <f>IF(X69="","",'Paramètres'!$C$9+SUM($X$6:X69))</f>
        <v/>
      </c>
      <c r="AG69" s="112">
        <f>IF(AF69="","",MAX('Paramètres'!$C$9,MAX($AF$6:AF69)))</f>
        <v/>
      </c>
      <c r="AH69" s="116">
        <f>IF(AF69="","",AF69/AG69-1)</f>
        <v/>
      </c>
      <c r="AI69" s="109">
        <f>IF(X69="","",IF(X69&gt;0,IF(N(AI68)&gt;0,N(AI68)+1,1),IF(X69&lt;0,IF(N(AI68)&lt;0,N(AI68)-1,-1),0)))</f>
        <v/>
      </c>
      <c r="AJ69" s="116">
        <f>IF(Z69="","",IFERROR(Z69/('Paramètres'!$C$9+SUM($X$5:X68)),""))</f>
        <v/>
      </c>
      <c r="AK69" s="109">
        <f>IF(AC69="Ouvert",COUNTIF($AC$6:AC69,"Ouvert"),"")</f>
        <v/>
      </c>
    </row>
    <row r="70" ht="19" customHeight="1">
      <c r="A70" s="104">
        <f>IF(B70="","",ROW()-5)</f>
        <v/>
      </c>
      <c r="B70" s="61" t="n"/>
      <c r="C70" s="61" t="n"/>
      <c r="D70" s="105" t="n"/>
      <c r="E70" s="49" t="n"/>
      <c r="F70" s="105" t="n"/>
      <c r="G70" s="49" t="n"/>
      <c r="H70" s="106" t="n"/>
      <c r="I70" s="107" t="n"/>
      <c r="J70" s="107" t="n"/>
      <c r="K70" s="107" t="n"/>
      <c r="L70" s="107" t="n"/>
      <c r="M70" s="106" t="n"/>
      <c r="N70" s="62" t="n"/>
      <c r="O70" s="49" t="n"/>
      <c r="P70" s="49" t="n"/>
      <c r="Q70" s="105" t="n"/>
      <c r="R70" s="105" t="n"/>
      <c r="S70" s="105" t="n"/>
      <c r="T70" s="105" t="n"/>
      <c r="U70" s="108">
        <f>IF(OR(H70="",I70="",I70=0),"",H70/I70)</f>
        <v/>
      </c>
      <c r="V70" s="109">
        <f>IF(OR(B70="",C70="",L70=""),"",MAX(0,C70-B70))</f>
        <v/>
      </c>
      <c r="W70" s="110">
        <f>IF(OR(L70="",U70=""),"",IF(E70="Short",(I70-L70)*U70,(L70-I70)*U70))</f>
        <v/>
      </c>
      <c r="X70" s="110">
        <f>IF(W70="","",W70-IF(M70="",0,M70))</f>
        <v/>
      </c>
      <c r="Y70" s="111">
        <f>IF(OR(X70="",H70="",H70=0),"",X70/H70)</f>
        <v/>
      </c>
      <c r="Z70" s="112">
        <f>IF(OR(I70="",J70="",U70=""),"",ABS(I70-J70)*U70)</f>
        <v/>
      </c>
      <c r="AA70" s="113">
        <f>IF(OR(X70="",Z70="",Z70=0),"",X70/Z70)</f>
        <v/>
      </c>
      <c r="AB70" s="114">
        <f>IF(OR(I70="",J70="",K70="",I70=J70),"",ABS(K70-I70)/ABS(I70-J70))</f>
        <v/>
      </c>
      <c r="AC70" s="51">
        <f>IF(OR(B70="",D70="",H70="",I70=""),"",IF(L70="","Ouvert",IF(X70&gt;0,"Gagné",IF(X70&lt;0,"Perdu","Neutre"))))</f>
        <v/>
      </c>
      <c r="AD70" s="115">
        <f>IF(X70="","",IF(C70="",B70,C70))</f>
        <v/>
      </c>
      <c r="AE70" s="109">
        <f>IF(B70="","",WEEKDAY(B70,2))</f>
        <v/>
      </c>
      <c r="AF70" s="112">
        <f>IF(X70="","",'Paramètres'!$C$9+SUM($X$6:X70))</f>
        <v/>
      </c>
      <c r="AG70" s="112">
        <f>IF(AF70="","",MAX('Paramètres'!$C$9,MAX($AF$6:AF70)))</f>
        <v/>
      </c>
      <c r="AH70" s="116">
        <f>IF(AF70="","",AF70/AG70-1)</f>
        <v/>
      </c>
      <c r="AI70" s="109">
        <f>IF(X70="","",IF(X70&gt;0,IF(N(AI69)&gt;0,N(AI69)+1,1),IF(X70&lt;0,IF(N(AI69)&lt;0,N(AI69)-1,-1),0)))</f>
        <v/>
      </c>
      <c r="AJ70" s="116">
        <f>IF(Z70="","",IFERROR(Z70/('Paramètres'!$C$9+SUM($X$5:X69)),""))</f>
        <v/>
      </c>
      <c r="AK70" s="109">
        <f>IF(AC70="Ouvert",COUNTIF($AC$6:AC70,"Ouvert"),"")</f>
        <v/>
      </c>
    </row>
    <row r="71" ht="19" customHeight="1">
      <c r="A71" s="104">
        <f>IF(B71="","",ROW()-5)</f>
        <v/>
      </c>
      <c r="B71" s="61" t="n"/>
      <c r="C71" s="61" t="n"/>
      <c r="D71" s="105" t="n"/>
      <c r="E71" s="49" t="n"/>
      <c r="F71" s="105" t="n"/>
      <c r="G71" s="49" t="n"/>
      <c r="H71" s="106" t="n"/>
      <c r="I71" s="107" t="n"/>
      <c r="J71" s="107" t="n"/>
      <c r="K71" s="107" t="n"/>
      <c r="L71" s="107" t="n"/>
      <c r="M71" s="106" t="n"/>
      <c r="N71" s="62" t="n"/>
      <c r="O71" s="49" t="n"/>
      <c r="P71" s="49" t="n"/>
      <c r="Q71" s="105" t="n"/>
      <c r="R71" s="105" t="n"/>
      <c r="S71" s="105" t="n"/>
      <c r="T71" s="105" t="n"/>
      <c r="U71" s="108">
        <f>IF(OR(H71="",I71="",I71=0),"",H71/I71)</f>
        <v/>
      </c>
      <c r="V71" s="109">
        <f>IF(OR(B71="",C71="",L71=""),"",MAX(0,C71-B71))</f>
        <v/>
      </c>
      <c r="W71" s="110">
        <f>IF(OR(L71="",U71=""),"",IF(E71="Short",(I71-L71)*U71,(L71-I71)*U71))</f>
        <v/>
      </c>
      <c r="X71" s="110">
        <f>IF(W71="","",W71-IF(M71="",0,M71))</f>
        <v/>
      </c>
      <c r="Y71" s="111">
        <f>IF(OR(X71="",H71="",H71=0),"",X71/H71)</f>
        <v/>
      </c>
      <c r="Z71" s="112">
        <f>IF(OR(I71="",J71="",U71=""),"",ABS(I71-J71)*U71)</f>
        <v/>
      </c>
      <c r="AA71" s="113">
        <f>IF(OR(X71="",Z71="",Z71=0),"",X71/Z71)</f>
        <v/>
      </c>
      <c r="AB71" s="114">
        <f>IF(OR(I71="",J71="",K71="",I71=J71),"",ABS(K71-I71)/ABS(I71-J71))</f>
        <v/>
      </c>
      <c r="AC71" s="51">
        <f>IF(OR(B71="",D71="",H71="",I71=""),"",IF(L71="","Ouvert",IF(X71&gt;0,"Gagné",IF(X71&lt;0,"Perdu","Neutre"))))</f>
        <v/>
      </c>
      <c r="AD71" s="115">
        <f>IF(X71="","",IF(C71="",B71,C71))</f>
        <v/>
      </c>
      <c r="AE71" s="109">
        <f>IF(B71="","",WEEKDAY(B71,2))</f>
        <v/>
      </c>
      <c r="AF71" s="112">
        <f>IF(X71="","",'Paramètres'!$C$9+SUM($X$6:X71))</f>
        <v/>
      </c>
      <c r="AG71" s="112">
        <f>IF(AF71="","",MAX('Paramètres'!$C$9,MAX($AF$6:AF71)))</f>
        <v/>
      </c>
      <c r="AH71" s="116">
        <f>IF(AF71="","",AF71/AG71-1)</f>
        <v/>
      </c>
      <c r="AI71" s="109">
        <f>IF(X71="","",IF(X71&gt;0,IF(N(AI70)&gt;0,N(AI70)+1,1),IF(X71&lt;0,IF(N(AI70)&lt;0,N(AI70)-1,-1),0)))</f>
        <v/>
      </c>
      <c r="AJ71" s="116">
        <f>IF(Z71="","",IFERROR(Z71/('Paramètres'!$C$9+SUM($X$5:X70)),""))</f>
        <v/>
      </c>
      <c r="AK71" s="109">
        <f>IF(AC71="Ouvert",COUNTIF($AC$6:AC71,"Ouvert"),"")</f>
        <v/>
      </c>
    </row>
    <row r="72" ht="19" customHeight="1">
      <c r="A72" s="104">
        <f>IF(B72="","",ROW()-5)</f>
        <v/>
      </c>
      <c r="B72" s="61" t="n"/>
      <c r="C72" s="61" t="n"/>
      <c r="D72" s="105" t="n"/>
      <c r="E72" s="49" t="n"/>
      <c r="F72" s="105" t="n"/>
      <c r="G72" s="49" t="n"/>
      <c r="H72" s="106" t="n"/>
      <c r="I72" s="107" t="n"/>
      <c r="J72" s="107" t="n"/>
      <c r="K72" s="107" t="n"/>
      <c r="L72" s="107" t="n"/>
      <c r="M72" s="106" t="n"/>
      <c r="N72" s="62" t="n"/>
      <c r="O72" s="49" t="n"/>
      <c r="P72" s="49" t="n"/>
      <c r="Q72" s="105" t="n"/>
      <c r="R72" s="105" t="n"/>
      <c r="S72" s="105" t="n"/>
      <c r="T72" s="105" t="n"/>
      <c r="U72" s="108">
        <f>IF(OR(H72="",I72="",I72=0),"",H72/I72)</f>
        <v/>
      </c>
      <c r="V72" s="109">
        <f>IF(OR(B72="",C72="",L72=""),"",MAX(0,C72-B72))</f>
        <v/>
      </c>
      <c r="W72" s="110">
        <f>IF(OR(L72="",U72=""),"",IF(E72="Short",(I72-L72)*U72,(L72-I72)*U72))</f>
        <v/>
      </c>
      <c r="X72" s="110">
        <f>IF(W72="","",W72-IF(M72="",0,M72))</f>
        <v/>
      </c>
      <c r="Y72" s="111">
        <f>IF(OR(X72="",H72="",H72=0),"",X72/H72)</f>
        <v/>
      </c>
      <c r="Z72" s="112">
        <f>IF(OR(I72="",J72="",U72=""),"",ABS(I72-J72)*U72)</f>
        <v/>
      </c>
      <c r="AA72" s="113">
        <f>IF(OR(X72="",Z72="",Z72=0),"",X72/Z72)</f>
        <v/>
      </c>
      <c r="AB72" s="114">
        <f>IF(OR(I72="",J72="",K72="",I72=J72),"",ABS(K72-I72)/ABS(I72-J72))</f>
        <v/>
      </c>
      <c r="AC72" s="51">
        <f>IF(OR(B72="",D72="",H72="",I72=""),"",IF(L72="","Ouvert",IF(X72&gt;0,"Gagné",IF(X72&lt;0,"Perdu","Neutre"))))</f>
        <v/>
      </c>
      <c r="AD72" s="115">
        <f>IF(X72="","",IF(C72="",B72,C72))</f>
        <v/>
      </c>
      <c r="AE72" s="109">
        <f>IF(B72="","",WEEKDAY(B72,2))</f>
        <v/>
      </c>
      <c r="AF72" s="112">
        <f>IF(X72="","",'Paramètres'!$C$9+SUM($X$6:X72))</f>
        <v/>
      </c>
      <c r="AG72" s="112">
        <f>IF(AF72="","",MAX('Paramètres'!$C$9,MAX($AF$6:AF72)))</f>
        <v/>
      </c>
      <c r="AH72" s="116">
        <f>IF(AF72="","",AF72/AG72-1)</f>
        <v/>
      </c>
      <c r="AI72" s="109">
        <f>IF(X72="","",IF(X72&gt;0,IF(N(AI71)&gt;0,N(AI71)+1,1),IF(X72&lt;0,IF(N(AI71)&lt;0,N(AI71)-1,-1),0)))</f>
        <v/>
      </c>
      <c r="AJ72" s="116">
        <f>IF(Z72="","",IFERROR(Z72/('Paramètres'!$C$9+SUM($X$5:X71)),""))</f>
        <v/>
      </c>
      <c r="AK72" s="109">
        <f>IF(AC72="Ouvert",COUNTIF($AC$6:AC72,"Ouvert"),"")</f>
        <v/>
      </c>
    </row>
    <row r="73" ht="19" customHeight="1">
      <c r="A73" s="104">
        <f>IF(B73="","",ROW()-5)</f>
        <v/>
      </c>
      <c r="B73" s="61" t="n"/>
      <c r="C73" s="61" t="n"/>
      <c r="D73" s="105" t="n"/>
      <c r="E73" s="49" t="n"/>
      <c r="F73" s="105" t="n"/>
      <c r="G73" s="49" t="n"/>
      <c r="H73" s="106" t="n"/>
      <c r="I73" s="107" t="n"/>
      <c r="J73" s="107" t="n"/>
      <c r="K73" s="107" t="n"/>
      <c r="L73" s="107" t="n"/>
      <c r="M73" s="106" t="n"/>
      <c r="N73" s="62" t="n"/>
      <c r="O73" s="49" t="n"/>
      <c r="P73" s="49" t="n"/>
      <c r="Q73" s="105" t="n"/>
      <c r="R73" s="105" t="n"/>
      <c r="S73" s="105" t="n"/>
      <c r="T73" s="105" t="n"/>
      <c r="U73" s="108">
        <f>IF(OR(H73="",I73="",I73=0),"",H73/I73)</f>
        <v/>
      </c>
      <c r="V73" s="109">
        <f>IF(OR(B73="",C73="",L73=""),"",MAX(0,C73-B73))</f>
        <v/>
      </c>
      <c r="W73" s="110">
        <f>IF(OR(L73="",U73=""),"",IF(E73="Short",(I73-L73)*U73,(L73-I73)*U73))</f>
        <v/>
      </c>
      <c r="X73" s="110">
        <f>IF(W73="","",W73-IF(M73="",0,M73))</f>
        <v/>
      </c>
      <c r="Y73" s="111">
        <f>IF(OR(X73="",H73="",H73=0),"",X73/H73)</f>
        <v/>
      </c>
      <c r="Z73" s="112">
        <f>IF(OR(I73="",J73="",U73=""),"",ABS(I73-J73)*U73)</f>
        <v/>
      </c>
      <c r="AA73" s="113">
        <f>IF(OR(X73="",Z73="",Z73=0),"",X73/Z73)</f>
        <v/>
      </c>
      <c r="AB73" s="114">
        <f>IF(OR(I73="",J73="",K73="",I73=J73),"",ABS(K73-I73)/ABS(I73-J73))</f>
        <v/>
      </c>
      <c r="AC73" s="51">
        <f>IF(OR(B73="",D73="",H73="",I73=""),"",IF(L73="","Ouvert",IF(X73&gt;0,"Gagné",IF(X73&lt;0,"Perdu","Neutre"))))</f>
        <v/>
      </c>
      <c r="AD73" s="115">
        <f>IF(X73="","",IF(C73="",B73,C73))</f>
        <v/>
      </c>
      <c r="AE73" s="109">
        <f>IF(B73="","",WEEKDAY(B73,2))</f>
        <v/>
      </c>
      <c r="AF73" s="112">
        <f>IF(X73="","",'Paramètres'!$C$9+SUM($X$6:X73))</f>
        <v/>
      </c>
      <c r="AG73" s="112">
        <f>IF(AF73="","",MAX('Paramètres'!$C$9,MAX($AF$6:AF73)))</f>
        <v/>
      </c>
      <c r="AH73" s="116">
        <f>IF(AF73="","",AF73/AG73-1)</f>
        <v/>
      </c>
      <c r="AI73" s="109">
        <f>IF(X73="","",IF(X73&gt;0,IF(N(AI72)&gt;0,N(AI72)+1,1),IF(X73&lt;0,IF(N(AI72)&lt;0,N(AI72)-1,-1),0)))</f>
        <v/>
      </c>
      <c r="AJ73" s="116">
        <f>IF(Z73="","",IFERROR(Z73/('Paramètres'!$C$9+SUM($X$5:X72)),""))</f>
        <v/>
      </c>
      <c r="AK73" s="109">
        <f>IF(AC73="Ouvert",COUNTIF($AC$6:AC73,"Ouvert"),"")</f>
        <v/>
      </c>
    </row>
    <row r="74" ht="19" customHeight="1">
      <c r="A74" s="104">
        <f>IF(B74="","",ROW()-5)</f>
        <v/>
      </c>
      <c r="B74" s="61" t="n"/>
      <c r="C74" s="61" t="n"/>
      <c r="D74" s="105" t="n"/>
      <c r="E74" s="49" t="n"/>
      <c r="F74" s="105" t="n"/>
      <c r="G74" s="49" t="n"/>
      <c r="H74" s="106" t="n"/>
      <c r="I74" s="107" t="n"/>
      <c r="J74" s="107" t="n"/>
      <c r="K74" s="107" t="n"/>
      <c r="L74" s="107" t="n"/>
      <c r="M74" s="106" t="n"/>
      <c r="N74" s="62" t="n"/>
      <c r="O74" s="49" t="n"/>
      <c r="P74" s="49" t="n"/>
      <c r="Q74" s="105" t="n"/>
      <c r="R74" s="105" t="n"/>
      <c r="S74" s="105" t="n"/>
      <c r="T74" s="105" t="n"/>
      <c r="U74" s="108">
        <f>IF(OR(H74="",I74="",I74=0),"",H74/I74)</f>
        <v/>
      </c>
      <c r="V74" s="109">
        <f>IF(OR(B74="",C74="",L74=""),"",MAX(0,C74-B74))</f>
        <v/>
      </c>
      <c r="W74" s="110">
        <f>IF(OR(L74="",U74=""),"",IF(E74="Short",(I74-L74)*U74,(L74-I74)*U74))</f>
        <v/>
      </c>
      <c r="X74" s="110">
        <f>IF(W74="","",W74-IF(M74="",0,M74))</f>
        <v/>
      </c>
      <c r="Y74" s="111">
        <f>IF(OR(X74="",H74="",H74=0),"",X74/H74)</f>
        <v/>
      </c>
      <c r="Z74" s="112">
        <f>IF(OR(I74="",J74="",U74=""),"",ABS(I74-J74)*U74)</f>
        <v/>
      </c>
      <c r="AA74" s="113">
        <f>IF(OR(X74="",Z74="",Z74=0),"",X74/Z74)</f>
        <v/>
      </c>
      <c r="AB74" s="114">
        <f>IF(OR(I74="",J74="",K74="",I74=J74),"",ABS(K74-I74)/ABS(I74-J74))</f>
        <v/>
      </c>
      <c r="AC74" s="51">
        <f>IF(OR(B74="",D74="",H74="",I74=""),"",IF(L74="","Ouvert",IF(X74&gt;0,"Gagné",IF(X74&lt;0,"Perdu","Neutre"))))</f>
        <v/>
      </c>
      <c r="AD74" s="115">
        <f>IF(X74="","",IF(C74="",B74,C74))</f>
        <v/>
      </c>
      <c r="AE74" s="109">
        <f>IF(B74="","",WEEKDAY(B74,2))</f>
        <v/>
      </c>
      <c r="AF74" s="112">
        <f>IF(X74="","",'Paramètres'!$C$9+SUM($X$6:X74))</f>
        <v/>
      </c>
      <c r="AG74" s="112">
        <f>IF(AF74="","",MAX('Paramètres'!$C$9,MAX($AF$6:AF74)))</f>
        <v/>
      </c>
      <c r="AH74" s="116">
        <f>IF(AF74="","",AF74/AG74-1)</f>
        <v/>
      </c>
      <c r="AI74" s="109">
        <f>IF(X74="","",IF(X74&gt;0,IF(N(AI73)&gt;0,N(AI73)+1,1),IF(X74&lt;0,IF(N(AI73)&lt;0,N(AI73)-1,-1),0)))</f>
        <v/>
      </c>
      <c r="AJ74" s="116">
        <f>IF(Z74="","",IFERROR(Z74/('Paramètres'!$C$9+SUM($X$5:X73)),""))</f>
        <v/>
      </c>
      <c r="AK74" s="109">
        <f>IF(AC74="Ouvert",COUNTIF($AC$6:AC74,"Ouvert"),"")</f>
        <v/>
      </c>
    </row>
    <row r="75" ht="19" customHeight="1">
      <c r="A75" s="104">
        <f>IF(B75="","",ROW()-5)</f>
        <v/>
      </c>
      <c r="B75" s="61" t="n"/>
      <c r="C75" s="61" t="n"/>
      <c r="D75" s="105" t="n"/>
      <c r="E75" s="49" t="n"/>
      <c r="F75" s="105" t="n"/>
      <c r="G75" s="49" t="n"/>
      <c r="H75" s="106" t="n"/>
      <c r="I75" s="107" t="n"/>
      <c r="J75" s="107" t="n"/>
      <c r="K75" s="107" t="n"/>
      <c r="L75" s="107" t="n"/>
      <c r="M75" s="106" t="n"/>
      <c r="N75" s="62" t="n"/>
      <c r="O75" s="49" t="n"/>
      <c r="P75" s="49" t="n"/>
      <c r="Q75" s="105" t="n"/>
      <c r="R75" s="105" t="n"/>
      <c r="S75" s="105" t="n"/>
      <c r="T75" s="105" t="n"/>
      <c r="U75" s="108">
        <f>IF(OR(H75="",I75="",I75=0),"",H75/I75)</f>
        <v/>
      </c>
      <c r="V75" s="109">
        <f>IF(OR(B75="",C75="",L75=""),"",MAX(0,C75-B75))</f>
        <v/>
      </c>
      <c r="W75" s="110">
        <f>IF(OR(L75="",U75=""),"",IF(E75="Short",(I75-L75)*U75,(L75-I75)*U75))</f>
        <v/>
      </c>
      <c r="X75" s="110">
        <f>IF(W75="","",W75-IF(M75="",0,M75))</f>
        <v/>
      </c>
      <c r="Y75" s="111">
        <f>IF(OR(X75="",H75="",H75=0),"",X75/H75)</f>
        <v/>
      </c>
      <c r="Z75" s="112">
        <f>IF(OR(I75="",J75="",U75=""),"",ABS(I75-J75)*U75)</f>
        <v/>
      </c>
      <c r="AA75" s="113">
        <f>IF(OR(X75="",Z75="",Z75=0),"",X75/Z75)</f>
        <v/>
      </c>
      <c r="AB75" s="114">
        <f>IF(OR(I75="",J75="",K75="",I75=J75),"",ABS(K75-I75)/ABS(I75-J75))</f>
        <v/>
      </c>
      <c r="AC75" s="51">
        <f>IF(OR(B75="",D75="",H75="",I75=""),"",IF(L75="","Ouvert",IF(X75&gt;0,"Gagné",IF(X75&lt;0,"Perdu","Neutre"))))</f>
        <v/>
      </c>
      <c r="AD75" s="115">
        <f>IF(X75="","",IF(C75="",B75,C75))</f>
        <v/>
      </c>
      <c r="AE75" s="109">
        <f>IF(B75="","",WEEKDAY(B75,2))</f>
        <v/>
      </c>
      <c r="AF75" s="112">
        <f>IF(X75="","",'Paramètres'!$C$9+SUM($X$6:X75))</f>
        <v/>
      </c>
      <c r="AG75" s="112">
        <f>IF(AF75="","",MAX('Paramètres'!$C$9,MAX($AF$6:AF75)))</f>
        <v/>
      </c>
      <c r="AH75" s="116">
        <f>IF(AF75="","",AF75/AG75-1)</f>
        <v/>
      </c>
      <c r="AI75" s="109">
        <f>IF(X75="","",IF(X75&gt;0,IF(N(AI74)&gt;0,N(AI74)+1,1),IF(X75&lt;0,IF(N(AI74)&lt;0,N(AI74)-1,-1),0)))</f>
        <v/>
      </c>
      <c r="AJ75" s="116">
        <f>IF(Z75="","",IFERROR(Z75/('Paramètres'!$C$9+SUM($X$5:X74)),""))</f>
        <v/>
      </c>
      <c r="AK75" s="109">
        <f>IF(AC75="Ouvert",COUNTIF($AC$6:AC75,"Ouvert"),"")</f>
        <v/>
      </c>
    </row>
    <row r="76" ht="19" customHeight="1">
      <c r="A76" s="104">
        <f>IF(B76="","",ROW()-5)</f>
        <v/>
      </c>
      <c r="B76" s="61" t="n"/>
      <c r="C76" s="61" t="n"/>
      <c r="D76" s="105" t="n"/>
      <c r="E76" s="49" t="n"/>
      <c r="F76" s="105" t="n"/>
      <c r="G76" s="49" t="n"/>
      <c r="H76" s="106" t="n"/>
      <c r="I76" s="107" t="n"/>
      <c r="J76" s="107" t="n"/>
      <c r="K76" s="107" t="n"/>
      <c r="L76" s="107" t="n"/>
      <c r="M76" s="106" t="n"/>
      <c r="N76" s="62" t="n"/>
      <c r="O76" s="49" t="n"/>
      <c r="P76" s="49" t="n"/>
      <c r="Q76" s="105" t="n"/>
      <c r="R76" s="105" t="n"/>
      <c r="S76" s="105" t="n"/>
      <c r="T76" s="105" t="n"/>
      <c r="U76" s="108">
        <f>IF(OR(H76="",I76="",I76=0),"",H76/I76)</f>
        <v/>
      </c>
      <c r="V76" s="109">
        <f>IF(OR(B76="",C76="",L76=""),"",MAX(0,C76-B76))</f>
        <v/>
      </c>
      <c r="W76" s="110">
        <f>IF(OR(L76="",U76=""),"",IF(E76="Short",(I76-L76)*U76,(L76-I76)*U76))</f>
        <v/>
      </c>
      <c r="X76" s="110">
        <f>IF(W76="","",W76-IF(M76="",0,M76))</f>
        <v/>
      </c>
      <c r="Y76" s="111">
        <f>IF(OR(X76="",H76="",H76=0),"",X76/H76)</f>
        <v/>
      </c>
      <c r="Z76" s="112">
        <f>IF(OR(I76="",J76="",U76=""),"",ABS(I76-J76)*U76)</f>
        <v/>
      </c>
      <c r="AA76" s="113">
        <f>IF(OR(X76="",Z76="",Z76=0),"",X76/Z76)</f>
        <v/>
      </c>
      <c r="AB76" s="114">
        <f>IF(OR(I76="",J76="",K76="",I76=J76),"",ABS(K76-I76)/ABS(I76-J76))</f>
        <v/>
      </c>
      <c r="AC76" s="51">
        <f>IF(OR(B76="",D76="",H76="",I76=""),"",IF(L76="","Ouvert",IF(X76&gt;0,"Gagné",IF(X76&lt;0,"Perdu","Neutre"))))</f>
        <v/>
      </c>
      <c r="AD76" s="115">
        <f>IF(X76="","",IF(C76="",B76,C76))</f>
        <v/>
      </c>
      <c r="AE76" s="109">
        <f>IF(B76="","",WEEKDAY(B76,2))</f>
        <v/>
      </c>
      <c r="AF76" s="112">
        <f>IF(X76="","",'Paramètres'!$C$9+SUM($X$6:X76))</f>
        <v/>
      </c>
      <c r="AG76" s="112">
        <f>IF(AF76="","",MAX('Paramètres'!$C$9,MAX($AF$6:AF76)))</f>
        <v/>
      </c>
      <c r="AH76" s="116">
        <f>IF(AF76="","",AF76/AG76-1)</f>
        <v/>
      </c>
      <c r="AI76" s="109">
        <f>IF(X76="","",IF(X76&gt;0,IF(N(AI75)&gt;0,N(AI75)+1,1),IF(X76&lt;0,IF(N(AI75)&lt;0,N(AI75)-1,-1),0)))</f>
        <v/>
      </c>
      <c r="AJ76" s="116">
        <f>IF(Z76="","",IFERROR(Z76/('Paramètres'!$C$9+SUM($X$5:X75)),""))</f>
        <v/>
      </c>
      <c r="AK76" s="109">
        <f>IF(AC76="Ouvert",COUNTIF($AC$6:AC76,"Ouvert"),"")</f>
        <v/>
      </c>
    </row>
    <row r="77" ht="19" customHeight="1">
      <c r="A77" s="104">
        <f>IF(B77="","",ROW()-5)</f>
        <v/>
      </c>
      <c r="B77" s="61" t="n"/>
      <c r="C77" s="61" t="n"/>
      <c r="D77" s="105" t="n"/>
      <c r="E77" s="49" t="n"/>
      <c r="F77" s="105" t="n"/>
      <c r="G77" s="49" t="n"/>
      <c r="H77" s="106" t="n"/>
      <c r="I77" s="107" t="n"/>
      <c r="J77" s="107" t="n"/>
      <c r="K77" s="107" t="n"/>
      <c r="L77" s="107" t="n"/>
      <c r="M77" s="106" t="n"/>
      <c r="N77" s="62" t="n"/>
      <c r="O77" s="49" t="n"/>
      <c r="P77" s="49" t="n"/>
      <c r="Q77" s="105" t="n"/>
      <c r="R77" s="105" t="n"/>
      <c r="S77" s="105" t="n"/>
      <c r="T77" s="105" t="n"/>
      <c r="U77" s="108">
        <f>IF(OR(H77="",I77="",I77=0),"",H77/I77)</f>
        <v/>
      </c>
      <c r="V77" s="109">
        <f>IF(OR(B77="",C77="",L77=""),"",MAX(0,C77-B77))</f>
        <v/>
      </c>
      <c r="W77" s="110">
        <f>IF(OR(L77="",U77=""),"",IF(E77="Short",(I77-L77)*U77,(L77-I77)*U77))</f>
        <v/>
      </c>
      <c r="X77" s="110">
        <f>IF(W77="","",W77-IF(M77="",0,M77))</f>
        <v/>
      </c>
      <c r="Y77" s="111">
        <f>IF(OR(X77="",H77="",H77=0),"",X77/H77)</f>
        <v/>
      </c>
      <c r="Z77" s="112">
        <f>IF(OR(I77="",J77="",U77=""),"",ABS(I77-J77)*U77)</f>
        <v/>
      </c>
      <c r="AA77" s="113">
        <f>IF(OR(X77="",Z77="",Z77=0),"",X77/Z77)</f>
        <v/>
      </c>
      <c r="AB77" s="114">
        <f>IF(OR(I77="",J77="",K77="",I77=J77),"",ABS(K77-I77)/ABS(I77-J77))</f>
        <v/>
      </c>
      <c r="AC77" s="51">
        <f>IF(OR(B77="",D77="",H77="",I77=""),"",IF(L77="","Ouvert",IF(X77&gt;0,"Gagné",IF(X77&lt;0,"Perdu","Neutre"))))</f>
        <v/>
      </c>
      <c r="AD77" s="115">
        <f>IF(X77="","",IF(C77="",B77,C77))</f>
        <v/>
      </c>
      <c r="AE77" s="109">
        <f>IF(B77="","",WEEKDAY(B77,2))</f>
        <v/>
      </c>
      <c r="AF77" s="112">
        <f>IF(X77="","",'Paramètres'!$C$9+SUM($X$6:X77))</f>
        <v/>
      </c>
      <c r="AG77" s="112">
        <f>IF(AF77="","",MAX('Paramètres'!$C$9,MAX($AF$6:AF77)))</f>
        <v/>
      </c>
      <c r="AH77" s="116">
        <f>IF(AF77="","",AF77/AG77-1)</f>
        <v/>
      </c>
      <c r="AI77" s="109">
        <f>IF(X77="","",IF(X77&gt;0,IF(N(AI76)&gt;0,N(AI76)+1,1),IF(X77&lt;0,IF(N(AI76)&lt;0,N(AI76)-1,-1),0)))</f>
        <v/>
      </c>
      <c r="AJ77" s="116">
        <f>IF(Z77="","",IFERROR(Z77/('Paramètres'!$C$9+SUM($X$5:X76)),""))</f>
        <v/>
      </c>
      <c r="AK77" s="109">
        <f>IF(AC77="Ouvert",COUNTIF($AC$6:AC77,"Ouvert"),"")</f>
        <v/>
      </c>
    </row>
    <row r="78" ht="19" customHeight="1">
      <c r="A78" s="104">
        <f>IF(B78="","",ROW()-5)</f>
        <v/>
      </c>
      <c r="B78" s="61" t="n"/>
      <c r="C78" s="61" t="n"/>
      <c r="D78" s="105" t="n"/>
      <c r="E78" s="49" t="n"/>
      <c r="F78" s="105" t="n"/>
      <c r="G78" s="49" t="n"/>
      <c r="H78" s="106" t="n"/>
      <c r="I78" s="107" t="n"/>
      <c r="J78" s="107" t="n"/>
      <c r="K78" s="107" t="n"/>
      <c r="L78" s="107" t="n"/>
      <c r="M78" s="106" t="n"/>
      <c r="N78" s="62" t="n"/>
      <c r="O78" s="49" t="n"/>
      <c r="P78" s="49" t="n"/>
      <c r="Q78" s="105" t="n"/>
      <c r="R78" s="105" t="n"/>
      <c r="S78" s="105" t="n"/>
      <c r="T78" s="105" t="n"/>
      <c r="U78" s="108">
        <f>IF(OR(H78="",I78="",I78=0),"",H78/I78)</f>
        <v/>
      </c>
      <c r="V78" s="109">
        <f>IF(OR(B78="",C78="",L78=""),"",MAX(0,C78-B78))</f>
        <v/>
      </c>
      <c r="W78" s="110">
        <f>IF(OR(L78="",U78=""),"",IF(E78="Short",(I78-L78)*U78,(L78-I78)*U78))</f>
        <v/>
      </c>
      <c r="X78" s="110">
        <f>IF(W78="","",W78-IF(M78="",0,M78))</f>
        <v/>
      </c>
      <c r="Y78" s="111">
        <f>IF(OR(X78="",H78="",H78=0),"",X78/H78)</f>
        <v/>
      </c>
      <c r="Z78" s="112">
        <f>IF(OR(I78="",J78="",U78=""),"",ABS(I78-J78)*U78)</f>
        <v/>
      </c>
      <c r="AA78" s="113">
        <f>IF(OR(X78="",Z78="",Z78=0),"",X78/Z78)</f>
        <v/>
      </c>
      <c r="AB78" s="114">
        <f>IF(OR(I78="",J78="",K78="",I78=J78),"",ABS(K78-I78)/ABS(I78-J78))</f>
        <v/>
      </c>
      <c r="AC78" s="51">
        <f>IF(OR(B78="",D78="",H78="",I78=""),"",IF(L78="","Ouvert",IF(X78&gt;0,"Gagné",IF(X78&lt;0,"Perdu","Neutre"))))</f>
        <v/>
      </c>
      <c r="AD78" s="115">
        <f>IF(X78="","",IF(C78="",B78,C78))</f>
        <v/>
      </c>
      <c r="AE78" s="109">
        <f>IF(B78="","",WEEKDAY(B78,2))</f>
        <v/>
      </c>
      <c r="AF78" s="112">
        <f>IF(X78="","",'Paramètres'!$C$9+SUM($X$6:X78))</f>
        <v/>
      </c>
      <c r="AG78" s="112">
        <f>IF(AF78="","",MAX('Paramètres'!$C$9,MAX($AF$6:AF78)))</f>
        <v/>
      </c>
      <c r="AH78" s="116">
        <f>IF(AF78="","",AF78/AG78-1)</f>
        <v/>
      </c>
      <c r="AI78" s="109">
        <f>IF(X78="","",IF(X78&gt;0,IF(N(AI77)&gt;0,N(AI77)+1,1),IF(X78&lt;0,IF(N(AI77)&lt;0,N(AI77)-1,-1),0)))</f>
        <v/>
      </c>
      <c r="AJ78" s="116">
        <f>IF(Z78="","",IFERROR(Z78/('Paramètres'!$C$9+SUM($X$5:X77)),""))</f>
        <v/>
      </c>
      <c r="AK78" s="109">
        <f>IF(AC78="Ouvert",COUNTIF($AC$6:AC78,"Ouvert"),"")</f>
        <v/>
      </c>
    </row>
    <row r="79" ht="19" customHeight="1">
      <c r="A79" s="104">
        <f>IF(B79="","",ROW()-5)</f>
        <v/>
      </c>
      <c r="B79" s="61" t="n"/>
      <c r="C79" s="61" t="n"/>
      <c r="D79" s="105" t="n"/>
      <c r="E79" s="49" t="n"/>
      <c r="F79" s="105" t="n"/>
      <c r="G79" s="49" t="n"/>
      <c r="H79" s="106" t="n"/>
      <c r="I79" s="107" t="n"/>
      <c r="J79" s="107" t="n"/>
      <c r="K79" s="107" t="n"/>
      <c r="L79" s="107" t="n"/>
      <c r="M79" s="106" t="n"/>
      <c r="N79" s="62" t="n"/>
      <c r="O79" s="49" t="n"/>
      <c r="P79" s="49" t="n"/>
      <c r="Q79" s="105" t="n"/>
      <c r="R79" s="105" t="n"/>
      <c r="S79" s="105" t="n"/>
      <c r="T79" s="105" t="n"/>
      <c r="U79" s="108">
        <f>IF(OR(H79="",I79="",I79=0),"",H79/I79)</f>
        <v/>
      </c>
      <c r="V79" s="109">
        <f>IF(OR(B79="",C79="",L79=""),"",MAX(0,C79-B79))</f>
        <v/>
      </c>
      <c r="W79" s="110">
        <f>IF(OR(L79="",U79=""),"",IF(E79="Short",(I79-L79)*U79,(L79-I79)*U79))</f>
        <v/>
      </c>
      <c r="X79" s="110">
        <f>IF(W79="","",W79-IF(M79="",0,M79))</f>
        <v/>
      </c>
      <c r="Y79" s="111">
        <f>IF(OR(X79="",H79="",H79=0),"",X79/H79)</f>
        <v/>
      </c>
      <c r="Z79" s="112">
        <f>IF(OR(I79="",J79="",U79=""),"",ABS(I79-J79)*U79)</f>
        <v/>
      </c>
      <c r="AA79" s="113">
        <f>IF(OR(X79="",Z79="",Z79=0),"",X79/Z79)</f>
        <v/>
      </c>
      <c r="AB79" s="114">
        <f>IF(OR(I79="",J79="",K79="",I79=J79),"",ABS(K79-I79)/ABS(I79-J79))</f>
        <v/>
      </c>
      <c r="AC79" s="51">
        <f>IF(OR(B79="",D79="",H79="",I79=""),"",IF(L79="","Ouvert",IF(X79&gt;0,"Gagné",IF(X79&lt;0,"Perdu","Neutre"))))</f>
        <v/>
      </c>
      <c r="AD79" s="115">
        <f>IF(X79="","",IF(C79="",B79,C79))</f>
        <v/>
      </c>
      <c r="AE79" s="109">
        <f>IF(B79="","",WEEKDAY(B79,2))</f>
        <v/>
      </c>
      <c r="AF79" s="112">
        <f>IF(X79="","",'Paramètres'!$C$9+SUM($X$6:X79))</f>
        <v/>
      </c>
      <c r="AG79" s="112">
        <f>IF(AF79="","",MAX('Paramètres'!$C$9,MAX($AF$6:AF79)))</f>
        <v/>
      </c>
      <c r="AH79" s="116">
        <f>IF(AF79="","",AF79/AG79-1)</f>
        <v/>
      </c>
      <c r="AI79" s="109">
        <f>IF(X79="","",IF(X79&gt;0,IF(N(AI78)&gt;0,N(AI78)+1,1),IF(X79&lt;0,IF(N(AI78)&lt;0,N(AI78)-1,-1),0)))</f>
        <v/>
      </c>
      <c r="AJ79" s="116">
        <f>IF(Z79="","",IFERROR(Z79/('Paramètres'!$C$9+SUM($X$5:X78)),""))</f>
        <v/>
      </c>
      <c r="AK79" s="109">
        <f>IF(AC79="Ouvert",COUNTIF($AC$6:AC79,"Ouvert"),"")</f>
        <v/>
      </c>
    </row>
    <row r="80" ht="19" customHeight="1">
      <c r="A80" s="104">
        <f>IF(B80="","",ROW()-5)</f>
        <v/>
      </c>
      <c r="B80" s="61" t="n"/>
      <c r="C80" s="61" t="n"/>
      <c r="D80" s="105" t="n"/>
      <c r="E80" s="49" t="n"/>
      <c r="F80" s="105" t="n"/>
      <c r="G80" s="49" t="n"/>
      <c r="H80" s="106" t="n"/>
      <c r="I80" s="107" t="n"/>
      <c r="J80" s="107" t="n"/>
      <c r="K80" s="107" t="n"/>
      <c r="L80" s="107" t="n"/>
      <c r="M80" s="106" t="n"/>
      <c r="N80" s="62" t="n"/>
      <c r="O80" s="49" t="n"/>
      <c r="P80" s="49" t="n"/>
      <c r="Q80" s="105" t="n"/>
      <c r="R80" s="105" t="n"/>
      <c r="S80" s="105" t="n"/>
      <c r="T80" s="105" t="n"/>
      <c r="U80" s="108">
        <f>IF(OR(H80="",I80="",I80=0),"",H80/I80)</f>
        <v/>
      </c>
      <c r="V80" s="109">
        <f>IF(OR(B80="",C80="",L80=""),"",MAX(0,C80-B80))</f>
        <v/>
      </c>
      <c r="W80" s="110">
        <f>IF(OR(L80="",U80=""),"",IF(E80="Short",(I80-L80)*U80,(L80-I80)*U80))</f>
        <v/>
      </c>
      <c r="X80" s="110">
        <f>IF(W80="","",W80-IF(M80="",0,M80))</f>
        <v/>
      </c>
      <c r="Y80" s="111">
        <f>IF(OR(X80="",H80="",H80=0),"",X80/H80)</f>
        <v/>
      </c>
      <c r="Z80" s="112">
        <f>IF(OR(I80="",J80="",U80=""),"",ABS(I80-J80)*U80)</f>
        <v/>
      </c>
      <c r="AA80" s="113">
        <f>IF(OR(X80="",Z80="",Z80=0),"",X80/Z80)</f>
        <v/>
      </c>
      <c r="AB80" s="114">
        <f>IF(OR(I80="",J80="",K80="",I80=J80),"",ABS(K80-I80)/ABS(I80-J80))</f>
        <v/>
      </c>
      <c r="AC80" s="51">
        <f>IF(OR(B80="",D80="",H80="",I80=""),"",IF(L80="","Ouvert",IF(X80&gt;0,"Gagné",IF(X80&lt;0,"Perdu","Neutre"))))</f>
        <v/>
      </c>
      <c r="AD80" s="115">
        <f>IF(X80="","",IF(C80="",B80,C80))</f>
        <v/>
      </c>
      <c r="AE80" s="109">
        <f>IF(B80="","",WEEKDAY(B80,2))</f>
        <v/>
      </c>
      <c r="AF80" s="112">
        <f>IF(X80="","",'Paramètres'!$C$9+SUM($X$6:X80))</f>
        <v/>
      </c>
      <c r="AG80" s="112">
        <f>IF(AF80="","",MAX('Paramètres'!$C$9,MAX($AF$6:AF80)))</f>
        <v/>
      </c>
      <c r="AH80" s="116">
        <f>IF(AF80="","",AF80/AG80-1)</f>
        <v/>
      </c>
      <c r="AI80" s="109">
        <f>IF(X80="","",IF(X80&gt;0,IF(N(AI79)&gt;0,N(AI79)+1,1),IF(X80&lt;0,IF(N(AI79)&lt;0,N(AI79)-1,-1),0)))</f>
        <v/>
      </c>
      <c r="AJ80" s="116">
        <f>IF(Z80="","",IFERROR(Z80/('Paramètres'!$C$9+SUM($X$5:X79)),""))</f>
        <v/>
      </c>
      <c r="AK80" s="109">
        <f>IF(AC80="Ouvert",COUNTIF($AC$6:AC80,"Ouvert"),"")</f>
        <v/>
      </c>
    </row>
    <row r="81" ht="19" customHeight="1">
      <c r="A81" s="104">
        <f>IF(B81="","",ROW()-5)</f>
        <v/>
      </c>
      <c r="B81" s="61" t="n"/>
      <c r="C81" s="61" t="n"/>
      <c r="D81" s="105" t="n"/>
      <c r="E81" s="49" t="n"/>
      <c r="F81" s="105" t="n"/>
      <c r="G81" s="49" t="n"/>
      <c r="H81" s="106" t="n"/>
      <c r="I81" s="107" t="n"/>
      <c r="J81" s="107" t="n"/>
      <c r="K81" s="107" t="n"/>
      <c r="L81" s="107" t="n"/>
      <c r="M81" s="106" t="n"/>
      <c r="N81" s="62" t="n"/>
      <c r="O81" s="49" t="n"/>
      <c r="P81" s="49" t="n"/>
      <c r="Q81" s="105" t="n"/>
      <c r="R81" s="105" t="n"/>
      <c r="S81" s="105" t="n"/>
      <c r="T81" s="105" t="n"/>
      <c r="U81" s="108">
        <f>IF(OR(H81="",I81="",I81=0),"",H81/I81)</f>
        <v/>
      </c>
      <c r="V81" s="109">
        <f>IF(OR(B81="",C81="",L81=""),"",MAX(0,C81-B81))</f>
        <v/>
      </c>
      <c r="W81" s="110">
        <f>IF(OR(L81="",U81=""),"",IF(E81="Short",(I81-L81)*U81,(L81-I81)*U81))</f>
        <v/>
      </c>
      <c r="X81" s="110">
        <f>IF(W81="","",W81-IF(M81="",0,M81))</f>
        <v/>
      </c>
      <c r="Y81" s="111">
        <f>IF(OR(X81="",H81="",H81=0),"",X81/H81)</f>
        <v/>
      </c>
      <c r="Z81" s="112">
        <f>IF(OR(I81="",J81="",U81=""),"",ABS(I81-J81)*U81)</f>
        <v/>
      </c>
      <c r="AA81" s="113">
        <f>IF(OR(X81="",Z81="",Z81=0),"",X81/Z81)</f>
        <v/>
      </c>
      <c r="AB81" s="114">
        <f>IF(OR(I81="",J81="",K81="",I81=J81),"",ABS(K81-I81)/ABS(I81-J81))</f>
        <v/>
      </c>
      <c r="AC81" s="51">
        <f>IF(OR(B81="",D81="",H81="",I81=""),"",IF(L81="","Ouvert",IF(X81&gt;0,"Gagné",IF(X81&lt;0,"Perdu","Neutre"))))</f>
        <v/>
      </c>
      <c r="AD81" s="115">
        <f>IF(X81="","",IF(C81="",B81,C81))</f>
        <v/>
      </c>
      <c r="AE81" s="109">
        <f>IF(B81="","",WEEKDAY(B81,2))</f>
        <v/>
      </c>
      <c r="AF81" s="112">
        <f>IF(X81="","",'Paramètres'!$C$9+SUM($X$6:X81))</f>
        <v/>
      </c>
      <c r="AG81" s="112">
        <f>IF(AF81="","",MAX('Paramètres'!$C$9,MAX($AF$6:AF81)))</f>
        <v/>
      </c>
      <c r="AH81" s="116">
        <f>IF(AF81="","",AF81/AG81-1)</f>
        <v/>
      </c>
      <c r="AI81" s="109">
        <f>IF(X81="","",IF(X81&gt;0,IF(N(AI80)&gt;0,N(AI80)+1,1),IF(X81&lt;0,IF(N(AI80)&lt;0,N(AI80)-1,-1),0)))</f>
        <v/>
      </c>
      <c r="AJ81" s="116">
        <f>IF(Z81="","",IFERROR(Z81/('Paramètres'!$C$9+SUM($X$5:X80)),""))</f>
        <v/>
      </c>
      <c r="AK81" s="109">
        <f>IF(AC81="Ouvert",COUNTIF($AC$6:AC81,"Ouvert"),"")</f>
        <v/>
      </c>
    </row>
    <row r="82" ht="19" customHeight="1">
      <c r="A82" s="104">
        <f>IF(B82="","",ROW()-5)</f>
        <v/>
      </c>
      <c r="B82" s="61" t="n"/>
      <c r="C82" s="61" t="n"/>
      <c r="D82" s="105" t="n"/>
      <c r="E82" s="49" t="n"/>
      <c r="F82" s="105" t="n"/>
      <c r="G82" s="49" t="n"/>
      <c r="H82" s="106" t="n"/>
      <c r="I82" s="107" t="n"/>
      <c r="J82" s="107" t="n"/>
      <c r="K82" s="107" t="n"/>
      <c r="L82" s="107" t="n"/>
      <c r="M82" s="106" t="n"/>
      <c r="N82" s="62" t="n"/>
      <c r="O82" s="49" t="n"/>
      <c r="P82" s="49" t="n"/>
      <c r="Q82" s="105" t="n"/>
      <c r="R82" s="105" t="n"/>
      <c r="S82" s="105" t="n"/>
      <c r="T82" s="105" t="n"/>
      <c r="U82" s="108">
        <f>IF(OR(H82="",I82="",I82=0),"",H82/I82)</f>
        <v/>
      </c>
      <c r="V82" s="109">
        <f>IF(OR(B82="",C82="",L82=""),"",MAX(0,C82-B82))</f>
        <v/>
      </c>
      <c r="W82" s="110">
        <f>IF(OR(L82="",U82=""),"",IF(E82="Short",(I82-L82)*U82,(L82-I82)*U82))</f>
        <v/>
      </c>
      <c r="X82" s="110">
        <f>IF(W82="","",W82-IF(M82="",0,M82))</f>
        <v/>
      </c>
      <c r="Y82" s="111">
        <f>IF(OR(X82="",H82="",H82=0),"",X82/H82)</f>
        <v/>
      </c>
      <c r="Z82" s="112">
        <f>IF(OR(I82="",J82="",U82=""),"",ABS(I82-J82)*U82)</f>
        <v/>
      </c>
      <c r="AA82" s="113">
        <f>IF(OR(X82="",Z82="",Z82=0),"",X82/Z82)</f>
        <v/>
      </c>
      <c r="AB82" s="114">
        <f>IF(OR(I82="",J82="",K82="",I82=J82),"",ABS(K82-I82)/ABS(I82-J82))</f>
        <v/>
      </c>
      <c r="AC82" s="51">
        <f>IF(OR(B82="",D82="",H82="",I82=""),"",IF(L82="","Ouvert",IF(X82&gt;0,"Gagné",IF(X82&lt;0,"Perdu","Neutre"))))</f>
        <v/>
      </c>
      <c r="AD82" s="115">
        <f>IF(X82="","",IF(C82="",B82,C82))</f>
        <v/>
      </c>
      <c r="AE82" s="109">
        <f>IF(B82="","",WEEKDAY(B82,2))</f>
        <v/>
      </c>
      <c r="AF82" s="112">
        <f>IF(X82="","",'Paramètres'!$C$9+SUM($X$6:X82))</f>
        <v/>
      </c>
      <c r="AG82" s="112">
        <f>IF(AF82="","",MAX('Paramètres'!$C$9,MAX($AF$6:AF82)))</f>
        <v/>
      </c>
      <c r="AH82" s="116">
        <f>IF(AF82="","",AF82/AG82-1)</f>
        <v/>
      </c>
      <c r="AI82" s="109">
        <f>IF(X82="","",IF(X82&gt;0,IF(N(AI81)&gt;0,N(AI81)+1,1),IF(X82&lt;0,IF(N(AI81)&lt;0,N(AI81)-1,-1),0)))</f>
        <v/>
      </c>
      <c r="AJ82" s="116">
        <f>IF(Z82="","",IFERROR(Z82/('Paramètres'!$C$9+SUM($X$5:X81)),""))</f>
        <v/>
      </c>
      <c r="AK82" s="109">
        <f>IF(AC82="Ouvert",COUNTIF($AC$6:AC82,"Ouvert"),"")</f>
        <v/>
      </c>
    </row>
    <row r="83" ht="19" customHeight="1">
      <c r="A83" s="104">
        <f>IF(B83="","",ROW()-5)</f>
        <v/>
      </c>
      <c r="B83" s="61" t="n"/>
      <c r="C83" s="61" t="n"/>
      <c r="D83" s="105" t="n"/>
      <c r="E83" s="49" t="n"/>
      <c r="F83" s="105" t="n"/>
      <c r="G83" s="49" t="n"/>
      <c r="H83" s="106" t="n"/>
      <c r="I83" s="107" t="n"/>
      <c r="J83" s="107" t="n"/>
      <c r="K83" s="107" t="n"/>
      <c r="L83" s="107" t="n"/>
      <c r="M83" s="106" t="n"/>
      <c r="N83" s="62" t="n"/>
      <c r="O83" s="49" t="n"/>
      <c r="P83" s="49" t="n"/>
      <c r="Q83" s="105" t="n"/>
      <c r="R83" s="105" t="n"/>
      <c r="S83" s="105" t="n"/>
      <c r="T83" s="105" t="n"/>
      <c r="U83" s="108">
        <f>IF(OR(H83="",I83="",I83=0),"",H83/I83)</f>
        <v/>
      </c>
      <c r="V83" s="109">
        <f>IF(OR(B83="",C83="",L83=""),"",MAX(0,C83-B83))</f>
        <v/>
      </c>
      <c r="W83" s="110">
        <f>IF(OR(L83="",U83=""),"",IF(E83="Short",(I83-L83)*U83,(L83-I83)*U83))</f>
        <v/>
      </c>
      <c r="X83" s="110">
        <f>IF(W83="","",W83-IF(M83="",0,M83))</f>
        <v/>
      </c>
      <c r="Y83" s="111">
        <f>IF(OR(X83="",H83="",H83=0),"",X83/H83)</f>
        <v/>
      </c>
      <c r="Z83" s="112">
        <f>IF(OR(I83="",J83="",U83=""),"",ABS(I83-J83)*U83)</f>
        <v/>
      </c>
      <c r="AA83" s="113">
        <f>IF(OR(X83="",Z83="",Z83=0),"",X83/Z83)</f>
        <v/>
      </c>
      <c r="AB83" s="114">
        <f>IF(OR(I83="",J83="",K83="",I83=J83),"",ABS(K83-I83)/ABS(I83-J83))</f>
        <v/>
      </c>
      <c r="AC83" s="51">
        <f>IF(OR(B83="",D83="",H83="",I83=""),"",IF(L83="","Ouvert",IF(X83&gt;0,"Gagné",IF(X83&lt;0,"Perdu","Neutre"))))</f>
        <v/>
      </c>
      <c r="AD83" s="115">
        <f>IF(X83="","",IF(C83="",B83,C83))</f>
        <v/>
      </c>
      <c r="AE83" s="109">
        <f>IF(B83="","",WEEKDAY(B83,2))</f>
        <v/>
      </c>
      <c r="AF83" s="112">
        <f>IF(X83="","",'Paramètres'!$C$9+SUM($X$6:X83))</f>
        <v/>
      </c>
      <c r="AG83" s="112">
        <f>IF(AF83="","",MAX('Paramètres'!$C$9,MAX($AF$6:AF83)))</f>
        <v/>
      </c>
      <c r="AH83" s="116">
        <f>IF(AF83="","",AF83/AG83-1)</f>
        <v/>
      </c>
      <c r="AI83" s="109">
        <f>IF(X83="","",IF(X83&gt;0,IF(N(AI82)&gt;0,N(AI82)+1,1),IF(X83&lt;0,IF(N(AI82)&lt;0,N(AI82)-1,-1),0)))</f>
        <v/>
      </c>
      <c r="AJ83" s="116">
        <f>IF(Z83="","",IFERROR(Z83/('Paramètres'!$C$9+SUM($X$5:X82)),""))</f>
        <v/>
      </c>
      <c r="AK83" s="109">
        <f>IF(AC83="Ouvert",COUNTIF($AC$6:AC83,"Ouvert"),"")</f>
        <v/>
      </c>
    </row>
    <row r="84" ht="19" customHeight="1">
      <c r="A84" s="104">
        <f>IF(B84="","",ROW()-5)</f>
        <v/>
      </c>
      <c r="B84" s="61" t="n"/>
      <c r="C84" s="61" t="n"/>
      <c r="D84" s="105" t="n"/>
      <c r="E84" s="49" t="n"/>
      <c r="F84" s="105" t="n"/>
      <c r="G84" s="49" t="n"/>
      <c r="H84" s="106" t="n"/>
      <c r="I84" s="107" t="n"/>
      <c r="J84" s="107" t="n"/>
      <c r="K84" s="107" t="n"/>
      <c r="L84" s="107" t="n"/>
      <c r="M84" s="106" t="n"/>
      <c r="N84" s="62" t="n"/>
      <c r="O84" s="49" t="n"/>
      <c r="P84" s="49" t="n"/>
      <c r="Q84" s="105" t="n"/>
      <c r="R84" s="105" t="n"/>
      <c r="S84" s="105" t="n"/>
      <c r="T84" s="105" t="n"/>
      <c r="U84" s="108">
        <f>IF(OR(H84="",I84="",I84=0),"",H84/I84)</f>
        <v/>
      </c>
      <c r="V84" s="109">
        <f>IF(OR(B84="",C84="",L84=""),"",MAX(0,C84-B84))</f>
        <v/>
      </c>
      <c r="W84" s="110">
        <f>IF(OR(L84="",U84=""),"",IF(E84="Short",(I84-L84)*U84,(L84-I84)*U84))</f>
        <v/>
      </c>
      <c r="X84" s="110">
        <f>IF(W84="","",W84-IF(M84="",0,M84))</f>
        <v/>
      </c>
      <c r="Y84" s="111">
        <f>IF(OR(X84="",H84="",H84=0),"",X84/H84)</f>
        <v/>
      </c>
      <c r="Z84" s="112">
        <f>IF(OR(I84="",J84="",U84=""),"",ABS(I84-J84)*U84)</f>
        <v/>
      </c>
      <c r="AA84" s="113">
        <f>IF(OR(X84="",Z84="",Z84=0),"",X84/Z84)</f>
        <v/>
      </c>
      <c r="AB84" s="114">
        <f>IF(OR(I84="",J84="",K84="",I84=J84),"",ABS(K84-I84)/ABS(I84-J84))</f>
        <v/>
      </c>
      <c r="AC84" s="51">
        <f>IF(OR(B84="",D84="",H84="",I84=""),"",IF(L84="","Ouvert",IF(X84&gt;0,"Gagné",IF(X84&lt;0,"Perdu","Neutre"))))</f>
        <v/>
      </c>
      <c r="AD84" s="115">
        <f>IF(X84="","",IF(C84="",B84,C84))</f>
        <v/>
      </c>
      <c r="AE84" s="109">
        <f>IF(B84="","",WEEKDAY(B84,2))</f>
        <v/>
      </c>
      <c r="AF84" s="112">
        <f>IF(X84="","",'Paramètres'!$C$9+SUM($X$6:X84))</f>
        <v/>
      </c>
      <c r="AG84" s="112">
        <f>IF(AF84="","",MAX('Paramètres'!$C$9,MAX($AF$6:AF84)))</f>
        <v/>
      </c>
      <c r="AH84" s="116">
        <f>IF(AF84="","",AF84/AG84-1)</f>
        <v/>
      </c>
      <c r="AI84" s="109">
        <f>IF(X84="","",IF(X84&gt;0,IF(N(AI83)&gt;0,N(AI83)+1,1),IF(X84&lt;0,IF(N(AI83)&lt;0,N(AI83)-1,-1),0)))</f>
        <v/>
      </c>
      <c r="AJ84" s="116">
        <f>IF(Z84="","",IFERROR(Z84/('Paramètres'!$C$9+SUM($X$5:X83)),""))</f>
        <v/>
      </c>
      <c r="AK84" s="109">
        <f>IF(AC84="Ouvert",COUNTIF($AC$6:AC84,"Ouvert"),"")</f>
        <v/>
      </c>
    </row>
    <row r="85" ht="19" customHeight="1">
      <c r="A85" s="104">
        <f>IF(B85="","",ROW()-5)</f>
        <v/>
      </c>
      <c r="B85" s="61" t="n"/>
      <c r="C85" s="61" t="n"/>
      <c r="D85" s="105" t="n"/>
      <c r="E85" s="49" t="n"/>
      <c r="F85" s="105" t="n"/>
      <c r="G85" s="49" t="n"/>
      <c r="H85" s="106" t="n"/>
      <c r="I85" s="107" t="n"/>
      <c r="J85" s="107" t="n"/>
      <c r="K85" s="107" t="n"/>
      <c r="L85" s="107" t="n"/>
      <c r="M85" s="106" t="n"/>
      <c r="N85" s="62" t="n"/>
      <c r="O85" s="49" t="n"/>
      <c r="P85" s="49" t="n"/>
      <c r="Q85" s="105" t="n"/>
      <c r="R85" s="105" t="n"/>
      <c r="S85" s="105" t="n"/>
      <c r="T85" s="105" t="n"/>
      <c r="U85" s="108">
        <f>IF(OR(H85="",I85="",I85=0),"",H85/I85)</f>
        <v/>
      </c>
      <c r="V85" s="109">
        <f>IF(OR(B85="",C85="",L85=""),"",MAX(0,C85-B85))</f>
        <v/>
      </c>
      <c r="W85" s="110">
        <f>IF(OR(L85="",U85=""),"",IF(E85="Short",(I85-L85)*U85,(L85-I85)*U85))</f>
        <v/>
      </c>
      <c r="X85" s="110">
        <f>IF(W85="","",W85-IF(M85="",0,M85))</f>
        <v/>
      </c>
      <c r="Y85" s="111">
        <f>IF(OR(X85="",H85="",H85=0),"",X85/H85)</f>
        <v/>
      </c>
      <c r="Z85" s="112">
        <f>IF(OR(I85="",J85="",U85=""),"",ABS(I85-J85)*U85)</f>
        <v/>
      </c>
      <c r="AA85" s="113">
        <f>IF(OR(X85="",Z85="",Z85=0),"",X85/Z85)</f>
        <v/>
      </c>
      <c r="AB85" s="114">
        <f>IF(OR(I85="",J85="",K85="",I85=J85),"",ABS(K85-I85)/ABS(I85-J85))</f>
        <v/>
      </c>
      <c r="AC85" s="51">
        <f>IF(OR(B85="",D85="",H85="",I85=""),"",IF(L85="","Ouvert",IF(X85&gt;0,"Gagné",IF(X85&lt;0,"Perdu","Neutre"))))</f>
        <v/>
      </c>
      <c r="AD85" s="115">
        <f>IF(X85="","",IF(C85="",B85,C85))</f>
        <v/>
      </c>
      <c r="AE85" s="109">
        <f>IF(B85="","",WEEKDAY(B85,2))</f>
        <v/>
      </c>
      <c r="AF85" s="112">
        <f>IF(X85="","",'Paramètres'!$C$9+SUM($X$6:X85))</f>
        <v/>
      </c>
      <c r="AG85" s="112">
        <f>IF(AF85="","",MAX('Paramètres'!$C$9,MAX($AF$6:AF85)))</f>
        <v/>
      </c>
      <c r="AH85" s="116">
        <f>IF(AF85="","",AF85/AG85-1)</f>
        <v/>
      </c>
      <c r="AI85" s="109">
        <f>IF(X85="","",IF(X85&gt;0,IF(N(AI84)&gt;0,N(AI84)+1,1),IF(X85&lt;0,IF(N(AI84)&lt;0,N(AI84)-1,-1),0)))</f>
        <v/>
      </c>
      <c r="AJ85" s="116">
        <f>IF(Z85="","",IFERROR(Z85/('Paramètres'!$C$9+SUM($X$5:X84)),""))</f>
        <v/>
      </c>
      <c r="AK85" s="109">
        <f>IF(AC85="Ouvert",COUNTIF($AC$6:AC85,"Ouvert"),"")</f>
        <v/>
      </c>
    </row>
    <row r="86" ht="19" customHeight="1">
      <c r="A86" s="104">
        <f>IF(B86="","",ROW()-5)</f>
        <v/>
      </c>
      <c r="B86" s="61" t="n"/>
      <c r="C86" s="61" t="n"/>
      <c r="D86" s="105" t="n"/>
      <c r="E86" s="49" t="n"/>
      <c r="F86" s="105" t="n"/>
      <c r="G86" s="49" t="n"/>
      <c r="H86" s="106" t="n"/>
      <c r="I86" s="107" t="n"/>
      <c r="J86" s="107" t="n"/>
      <c r="K86" s="107" t="n"/>
      <c r="L86" s="107" t="n"/>
      <c r="M86" s="106" t="n"/>
      <c r="N86" s="62" t="n"/>
      <c r="O86" s="49" t="n"/>
      <c r="P86" s="49" t="n"/>
      <c r="Q86" s="105" t="n"/>
      <c r="R86" s="105" t="n"/>
      <c r="S86" s="105" t="n"/>
      <c r="T86" s="105" t="n"/>
      <c r="U86" s="108">
        <f>IF(OR(H86="",I86="",I86=0),"",H86/I86)</f>
        <v/>
      </c>
      <c r="V86" s="109">
        <f>IF(OR(B86="",C86="",L86=""),"",MAX(0,C86-B86))</f>
        <v/>
      </c>
      <c r="W86" s="110">
        <f>IF(OR(L86="",U86=""),"",IF(E86="Short",(I86-L86)*U86,(L86-I86)*U86))</f>
        <v/>
      </c>
      <c r="X86" s="110">
        <f>IF(W86="","",W86-IF(M86="",0,M86))</f>
        <v/>
      </c>
      <c r="Y86" s="111">
        <f>IF(OR(X86="",H86="",H86=0),"",X86/H86)</f>
        <v/>
      </c>
      <c r="Z86" s="112">
        <f>IF(OR(I86="",J86="",U86=""),"",ABS(I86-J86)*U86)</f>
        <v/>
      </c>
      <c r="AA86" s="113">
        <f>IF(OR(X86="",Z86="",Z86=0),"",X86/Z86)</f>
        <v/>
      </c>
      <c r="AB86" s="114">
        <f>IF(OR(I86="",J86="",K86="",I86=J86),"",ABS(K86-I86)/ABS(I86-J86))</f>
        <v/>
      </c>
      <c r="AC86" s="51">
        <f>IF(OR(B86="",D86="",H86="",I86=""),"",IF(L86="","Ouvert",IF(X86&gt;0,"Gagné",IF(X86&lt;0,"Perdu","Neutre"))))</f>
        <v/>
      </c>
      <c r="AD86" s="115">
        <f>IF(X86="","",IF(C86="",B86,C86))</f>
        <v/>
      </c>
      <c r="AE86" s="109">
        <f>IF(B86="","",WEEKDAY(B86,2))</f>
        <v/>
      </c>
      <c r="AF86" s="112">
        <f>IF(X86="","",'Paramètres'!$C$9+SUM($X$6:X86))</f>
        <v/>
      </c>
      <c r="AG86" s="112">
        <f>IF(AF86="","",MAX('Paramètres'!$C$9,MAX($AF$6:AF86)))</f>
        <v/>
      </c>
      <c r="AH86" s="116">
        <f>IF(AF86="","",AF86/AG86-1)</f>
        <v/>
      </c>
      <c r="AI86" s="109">
        <f>IF(X86="","",IF(X86&gt;0,IF(N(AI85)&gt;0,N(AI85)+1,1),IF(X86&lt;0,IF(N(AI85)&lt;0,N(AI85)-1,-1),0)))</f>
        <v/>
      </c>
      <c r="AJ86" s="116">
        <f>IF(Z86="","",IFERROR(Z86/('Paramètres'!$C$9+SUM($X$5:X85)),""))</f>
        <v/>
      </c>
      <c r="AK86" s="109">
        <f>IF(AC86="Ouvert",COUNTIF($AC$6:AC86,"Ouvert"),"")</f>
        <v/>
      </c>
    </row>
    <row r="87" ht="19" customHeight="1">
      <c r="A87" s="104">
        <f>IF(B87="","",ROW()-5)</f>
        <v/>
      </c>
      <c r="B87" s="61" t="n"/>
      <c r="C87" s="61" t="n"/>
      <c r="D87" s="105" t="n"/>
      <c r="E87" s="49" t="n"/>
      <c r="F87" s="105" t="n"/>
      <c r="G87" s="49" t="n"/>
      <c r="H87" s="106" t="n"/>
      <c r="I87" s="107" t="n"/>
      <c r="J87" s="107" t="n"/>
      <c r="K87" s="107" t="n"/>
      <c r="L87" s="107" t="n"/>
      <c r="M87" s="106" t="n"/>
      <c r="N87" s="62" t="n"/>
      <c r="O87" s="49" t="n"/>
      <c r="P87" s="49" t="n"/>
      <c r="Q87" s="105" t="n"/>
      <c r="R87" s="105" t="n"/>
      <c r="S87" s="105" t="n"/>
      <c r="T87" s="105" t="n"/>
      <c r="U87" s="108">
        <f>IF(OR(H87="",I87="",I87=0),"",H87/I87)</f>
        <v/>
      </c>
      <c r="V87" s="109">
        <f>IF(OR(B87="",C87="",L87=""),"",MAX(0,C87-B87))</f>
        <v/>
      </c>
      <c r="W87" s="110">
        <f>IF(OR(L87="",U87=""),"",IF(E87="Short",(I87-L87)*U87,(L87-I87)*U87))</f>
        <v/>
      </c>
      <c r="X87" s="110">
        <f>IF(W87="","",W87-IF(M87="",0,M87))</f>
        <v/>
      </c>
      <c r="Y87" s="111">
        <f>IF(OR(X87="",H87="",H87=0),"",X87/H87)</f>
        <v/>
      </c>
      <c r="Z87" s="112">
        <f>IF(OR(I87="",J87="",U87=""),"",ABS(I87-J87)*U87)</f>
        <v/>
      </c>
      <c r="AA87" s="113">
        <f>IF(OR(X87="",Z87="",Z87=0),"",X87/Z87)</f>
        <v/>
      </c>
      <c r="AB87" s="114">
        <f>IF(OR(I87="",J87="",K87="",I87=J87),"",ABS(K87-I87)/ABS(I87-J87))</f>
        <v/>
      </c>
      <c r="AC87" s="51">
        <f>IF(OR(B87="",D87="",H87="",I87=""),"",IF(L87="","Ouvert",IF(X87&gt;0,"Gagné",IF(X87&lt;0,"Perdu","Neutre"))))</f>
        <v/>
      </c>
      <c r="AD87" s="115">
        <f>IF(X87="","",IF(C87="",B87,C87))</f>
        <v/>
      </c>
      <c r="AE87" s="109">
        <f>IF(B87="","",WEEKDAY(B87,2))</f>
        <v/>
      </c>
      <c r="AF87" s="112">
        <f>IF(X87="","",'Paramètres'!$C$9+SUM($X$6:X87))</f>
        <v/>
      </c>
      <c r="AG87" s="112">
        <f>IF(AF87="","",MAX('Paramètres'!$C$9,MAX($AF$6:AF87)))</f>
        <v/>
      </c>
      <c r="AH87" s="116">
        <f>IF(AF87="","",AF87/AG87-1)</f>
        <v/>
      </c>
      <c r="AI87" s="109">
        <f>IF(X87="","",IF(X87&gt;0,IF(N(AI86)&gt;0,N(AI86)+1,1),IF(X87&lt;0,IF(N(AI86)&lt;0,N(AI86)-1,-1),0)))</f>
        <v/>
      </c>
      <c r="AJ87" s="116">
        <f>IF(Z87="","",IFERROR(Z87/('Paramètres'!$C$9+SUM($X$5:X86)),""))</f>
        <v/>
      </c>
      <c r="AK87" s="109">
        <f>IF(AC87="Ouvert",COUNTIF($AC$6:AC87,"Ouvert"),"")</f>
        <v/>
      </c>
    </row>
    <row r="88" ht="19" customHeight="1">
      <c r="A88" s="104">
        <f>IF(B88="","",ROW()-5)</f>
        <v/>
      </c>
      <c r="B88" s="61" t="n"/>
      <c r="C88" s="61" t="n"/>
      <c r="D88" s="105" t="n"/>
      <c r="E88" s="49" t="n"/>
      <c r="F88" s="105" t="n"/>
      <c r="G88" s="49" t="n"/>
      <c r="H88" s="106" t="n"/>
      <c r="I88" s="107" t="n"/>
      <c r="J88" s="107" t="n"/>
      <c r="K88" s="107" t="n"/>
      <c r="L88" s="107" t="n"/>
      <c r="M88" s="106" t="n"/>
      <c r="N88" s="62" t="n"/>
      <c r="O88" s="49" t="n"/>
      <c r="P88" s="49" t="n"/>
      <c r="Q88" s="105" t="n"/>
      <c r="R88" s="105" t="n"/>
      <c r="S88" s="105" t="n"/>
      <c r="T88" s="105" t="n"/>
      <c r="U88" s="108">
        <f>IF(OR(H88="",I88="",I88=0),"",H88/I88)</f>
        <v/>
      </c>
      <c r="V88" s="109">
        <f>IF(OR(B88="",C88="",L88=""),"",MAX(0,C88-B88))</f>
        <v/>
      </c>
      <c r="W88" s="110">
        <f>IF(OR(L88="",U88=""),"",IF(E88="Short",(I88-L88)*U88,(L88-I88)*U88))</f>
        <v/>
      </c>
      <c r="X88" s="110">
        <f>IF(W88="","",W88-IF(M88="",0,M88))</f>
        <v/>
      </c>
      <c r="Y88" s="111">
        <f>IF(OR(X88="",H88="",H88=0),"",X88/H88)</f>
        <v/>
      </c>
      <c r="Z88" s="112">
        <f>IF(OR(I88="",J88="",U88=""),"",ABS(I88-J88)*U88)</f>
        <v/>
      </c>
      <c r="AA88" s="113">
        <f>IF(OR(X88="",Z88="",Z88=0),"",X88/Z88)</f>
        <v/>
      </c>
      <c r="AB88" s="114">
        <f>IF(OR(I88="",J88="",K88="",I88=J88),"",ABS(K88-I88)/ABS(I88-J88))</f>
        <v/>
      </c>
      <c r="AC88" s="51">
        <f>IF(OR(B88="",D88="",H88="",I88=""),"",IF(L88="","Ouvert",IF(X88&gt;0,"Gagné",IF(X88&lt;0,"Perdu","Neutre"))))</f>
        <v/>
      </c>
      <c r="AD88" s="115">
        <f>IF(X88="","",IF(C88="",B88,C88))</f>
        <v/>
      </c>
      <c r="AE88" s="109">
        <f>IF(B88="","",WEEKDAY(B88,2))</f>
        <v/>
      </c>
      <c r="AF88" s="112">
        <f>IF(X88="","",'Paramètres'!$C$9+SUM($X$6:X88))</f>
        <v/>
      </c>
      <c r="AG88" s="112">
        <f>IF(AF88="","",MAX('Paramètres'!$C$9,MAX($AF$6:AF88)))</f>
        <v/>
      </c>
      <c r="AH88" s="116">
        <f>IF(AF88="","",AF88/AG88-1)</f>
        <v/>
      </c>
      <c r="AI88" s="109">
        <f>IF(X88="","",IF(X88&gt;0,IF(N(AI87)&gt;0,N(AI87)+1,1),IF(X88&lt;0,IF(N(AI87)&lt;0,N(AI87)-1,-1),0)))</f>
        <v/>
      </c>
      <c r="AJ88" s="116">
        <f>IF(Z88="","",IFERROR(Z88/('Paramètres'!$C$9+SUM($X$5:X87)),""))</f>
        <v/>
      </c>
      <c r="AK88" s="109">
        <f>IF(AC88="Ouvert",COUNTIF($AC$6:AC88,"Ouvert"),"")</f>
        <v/>
      </c>
    </row>
    <row r="89" ht="19" customHeight="1">
      <c r="A89" s="104">
        <f>IF(B89="","",ROW()-5)</f>
        <v/>
      </c>
      <c r="B89" s="61" t="n"/>
      <c r="C89" s="61" t="n"/>
      <c r="D89" s="105" t="n"/>
      <c r="E89" s="49" t="n"/>
      <c r="F89" s="105" t="n"/>
      <c r="G89" s="49" t="n"/>
      <c r="H89" s="106" t="n"/>
      <c r="I89" s="107" t="n"/>
      <c r="J89" s="107" t="n"/>
      <c r="K89" s="107" t="n"/>
      <c r="L89" s="107" t="n"/>
      <c r="M89" s="106" t="n"/>
      <c r="N89" s="62" t="n"/>
      <c r="O89" s="49" t="n"/>
      <c r="P89" s="49" t="n"/>
      <c r="Q89" s="105" t="n"/>
      <c r="R89" s="105" t="n"/>
      <c r="S89" s="105" t="n"/>
      <c r="T89" s="105" t="n"/>
      <c r="U89" s="108">
        <f>IF(OR(H89="",I89="",I89=0),"",H89/I89)</f>
        <v/>
      </c>
      <c r="V89" s="109">
        <f>IF(OR(B89="",C89="",L89=""),"",MAX(0,C89-B89))</f>
        <v/>
      </c>
      <c r="W89" s="110">
        <f>IF(OR(L89="",U89=""),"",IF(E89="Short",(I89-L89)*U89,(L89-I89)*U89))</f>
        <v/>
      </c>
      <c r="X89" s="110">
        <f>IF(W89="","",W89-IF(M89="",0,M89))</f>
        <v/>
      </c>
      <c r="Y89" s="111">
        <f>IF(OR(X89="",H89="",H89=0),"",X89/H89)</f>
        <v/>
      </c>
      <c r="Z89" s="112">
        <f>IF(OR(I89="",J89="",U89=""),"",ABS(I89-J89)*U89)</f>
        <v/>
      </c>
      <c r="AA89" s="113">
        <f>IF(OR(X89="",Z89="",Z89=0),"",X89/Z89)</f>
        <v/>
      </c>
      <c r="AB89" s="114">
        <f>IF(OR(I89="",J89="",K89="",I89=J89),"",ABS(K89-I89)/ABS(I89-J89))</f>
        <v/>
      </c>
      <c r="AC89" s="51">
        <f>IF(OR(B89="",D89="",H89="",I89=""),"",IF(L89="","Ouvert",IF(X89&gt;0,"Gagné",IF(X89&lt;0,"Perdu","Neutre"))))</f>
        <v/>
      </c>
      <c r="AD89" s="115">
        <f>IF(X89="","",IF(C89="",B89,C89))</f>
        <v/>
      </c>
      <c r="AE89" s="109">
        <f>IF(B89="","",WEEKDAY(B89,2))</f>
        <v/>
      </c>
      <c r="AF89" s="112">
        <f>IF(X89="","",'Paramètres'!$C$9+SUM($X$6:X89))</f>
        <v/>
      </c>
      <c r="AG89" s="112">
        <f>IF(AF89="","",MAX('Paramètres'!$C$9,MAX($AF$6:AF89)))</f>
        <v/>
      </c>
      <c r="AH89" s="116">
        <f>IF(AF89="","",AF89/AG89-1)</f>
        <v/>
      </c>
      <c r="AI89" s="109">
        <f>IF(X89="","",IF(X89&gt;0,IF(N(AI88)&gt;0,N(AI88)+1,1),IF(X89&lt;0,IF(N(AI88)&lt;0,N(AI88)-1,-1),0)))</f>
        <v/>
      </c>
      <c r="AJ89" s="116">
        <f>IF(Z89="","",IFERROR(Z89/('Paramètres'!$C$9+SUM($X$5:X88)),""))</f>
        <v/>
      </c>
      <c r="AK89" s="109">
        <f>IF(AC89="Ouvert",COUNTIF($AC$6:AC89,"Ouvert"),"")</f>
        <v/>
      </c>
    </row>
    <row r="90" ht="19" customHeight="1">
      <c r="A90" s="104">
        <f>IF(B90="","",ROW()-5)</f>
        <v/>
      </c>
      <c r="B90" s="61" t="n"/>
      <c r="C90" s="61" t="n"/>
      <c r="D90" s="105" t="n"/>
      <c r="E90" s="49" t="n"/>
      <c r="F90" s="105" t="n"/>
      <c r="G90" s="49" t="n"/>
      <c r="H90" s="106" t="n"/>
      <c r="I90" s="107" t="n"/>
      <c r="J90" s="107" t="n"/>
      <c r="K90" s="107" t="n"/>
      <c r="L90" s="107" t="n"/>
      <c r="M90" s="106" t="n"/>
      <c r="N90" s="62" t="n"/>
      <c r="O90" s="49" t="n"/>
      <c r="P90" s="49" t="n"/>
      <c r="Q90" s="105" t="n"/>
      <c r="R90" s="105" t="n"/>
      <c r="S90" s="105" t="n"/>
      <c r="T90" s="105" t="n"/>
      <c r="U90" s="108">
        <f>IF(OR(H90="",I90="",I90=0),"",H90/I90)</f>
        <v/>
      </c>
      <c r="V90" s="109">
        <f>IF(OR(B90="",C90="",L90=""),"",MAX(0,C90-B90))</f>
        <v/>
      </c>
      <c r="W90" s="110">
        <f>IF(OR(L90="",U90=""),"",IF(E90="Short",(I90-L90)*U90,(L90-I90)*U90))</f>
        <v/>
      </c>
      <c r="X90" s="110">
        <f>IF(W90="","",W90-IF(M90="",0,M90))</f>
        <v/>
      </c>
      <c r="Y90" s="111">
        <f>IF(OR(X90="",H90="",H90=0),"",X90/H90)</f>
        <v/>
      </c>
      <c r="Z90" s="112">
        <f>IF(OR(I90="",J90="",U90=""),"",ABS(I90-J90)*U90)</f>
        <v/>
      </c>
      <c r="AA90" s="113">
        <f>IF(OR(X90="",Z90="",Z90=0),"",X90/Z90)</f>
        <v/>
      </c>
      <c r="AB90" s="114">
        <f>IF(OR(I90="",J90="",K90="",I90=J90),"",ABS(K90-I90)/ABS(I90-J90))</f>
        <v/>
      </c>
      <c r="AC90" s="51">
        <f>IF(OR(B90="",D90="",H90="",I90=""),"",IF(L90="","Ouvert",IF(X90&gt;0,"Gagné",IF(X90&lt;0,"Perdu","Neutre"))))</f>
        <v/>
      </c>
      <c r="AD90" s="115">
        <f>IF(X90="","",IF(C90="",B90,C90))</f>
        <v/>
      </c>
      <c r="AE90" s="109">
        <f>IF(B90="","",WEEKDAY(B90,2))</f>
        <v/>
      </c>
      <c r="AF90" s="112">
        <f>IF(X90="","",'Paramètres'!$C$9+SUM($X$6:X90))</f>
        <v/>
      </c>
      <c r="AG90" s="112">
        <f>IF(AF90="","",MAX('Paramètres'!$C$9,MAX($AF$6:AF90)))</f>
        <v/>
      </c>
      <c r="AH90" s="116">
        <f>IF(AF90="","",AF90/AG90-1)</f>
        <v/>
      </c>
      <c r="AI90" s="109">
        <f>IF(X90="","",IF(X90&gt;0,IF(N(AI89)&gt;0,N(AI89)+1,1),IF(X90&lt;0,IF(N(AI89)&lt;0,N(AI89)-1,-1),0)))</f>
        <v/>
      </c>
      <c r="AJ90" s="116">
        <f>IF(Z90="","",IFERROR(Z90/('Paramètres'!$C$9+SUM($X$5:X89)),""))</f>
        <v/>
      </c>
      <c r="AK90" s="109">
        <f>IF(AC90="Ouvert",COUNTIF($AC$6:AC90,"Ouvert"),"")</f>
        <v/>
      </c>
    </row>
    <row r="91" ht="19" customHeight="1">
      <c r="A91" s="104">
        <f>IF(B91="","",ROW()-5)</f>
        <v/>
      </c>
      <c r="B91" s="61" t="n"/>
      <c r="C91" s="61" t="n"/>
      <c r="D91" s="105" t="n"/>
      <c r="E91" s="49" t="n"/>
      <c r="F91" s="105" t="n"/>
      <c r="G91" s="49" t="n"/>
      <c r="H91" s="106" t="n"/>
      <c r="I91" s="107" t="n"/>
      <c r="J91" s="107" t="n"/>
      <c r="K91" s="107" t="n"/>
      <c r="L91" s="107" t="n"/>
      <c r="M91" s="106" t="n"/>
      <c r="N91" s="62" t="n"/>
      <c r="O91" s="49" t="n"/>
      <c r="P91" s="49" t="n"/>
      <c r="Q91" s="105" t="n"/>
      <c r="R91" s="105" t="n"/>
      <c r="S91" s="105" t="n"/>
      <c r="T91" s="105" t="n"/>
      <c r="U91" s="108">
        <f>IF(OR(H91="",I91="",I91=0),"",H91/I91)</f>
        <v/>
      </c>
      <c r="V91" s="109">
        <f>IF(OR(B91="",C91="",L91=""),"",MAX(0,C91-B91))</f>
        <v/>
      </c>
      <c r="W91" s="110">
        <f>IF(OR(L91="",U91=""),"",IF(E91="Short",(I91-L91)*U91,(L91-I91)*U91))</f>
        <v/>
      </c>
      <c r="X91" s="110">
        <f>IF(W91="","",W91-IF(M91="",0,M91))</f>
        <v/>
      </c>
      <c r="Y91" s="111">
        <f>IF(OR(X91="",H91="",H91=0),"",X91/H91)</f>
        <v/>
      </c>
      <c r="Z91" s="112">
        <f>IF(OR(I91="",J91="",U91=""),"",ABS(I91-J91)*U91)</f>
        <v/>
      </c>
      <c r="AA91" s="113">
        <f>IF(OR(X91="",Z91="",Z91=0),"",X91/Z91)</f>
        <v/>
      </c>
      <c r="AB91" s="114">
        <f>IF(OR(I91="",J91="",K91="",I91=J91),"",ABS(K91-I91)/ABS(I91-J91))</f>
        <v/>
      </c>
      <c r="AC91" s="51">
        <f>IF(OR(B91="",D91="",H91="",I91=""),"",IF(L91="","Ouvert",IF(X91&gt;0,"Gagné",IF(X91&lt;0,"Perdu","Neutre"))))</f>
        <v/>
      </c>
      <c r="AD91" s="115">
        <f>IF(X91="","",IF(C91="",B91,C91))</f>
        <v/>
      </c>
      <c r="AE91" s="109">
        <f>IF(B91="","",WEEKDAY(B91,2))</f>
        <v/>
      </c>
      <c r="AF91" s="112">
        <f>IF(X91="","",'Paramètres'!$C$9+SUM($X$6:X91))</f>
        <v/>
      </c>
      <c r="AG91" s="112">
        <f>IF(AF91="","",MAX('Paramètres'!$C$9,MAX($AF$6:AF91)))</f>
        <v/>
      </c>
      <c r="AH91" s="116">
        <f>IF(AF91="","",AF91/AG91-1)</f>
        <v/>
      </c>
      <c r="AI91" s="109">
        <f>IF(X91="","",IF(X91&gt;0,IF(N(AI90)&gt;0,N(AI90)+1,1),IF(X91&lt;0,IF(N(AI90)&lt;0,N(AI90)-1,-1),0)))</f>
        <v/>
      </c>
      <c r="AJ91" s="116">
        <f>IF(Z91="","",IFERROR(Z91/('Paramètres'!$C$9+SUM($X$5:X90)),""))</f>
        <v/>
      </c>
      <c r="AK91" s="109">
        <f>IF(AC91="Ouvert",COUNTIF($AC$6:AC91,"Ouvert"),"")</f>
        <v/>
      </c>
    </row>
    <row r="92" ht="19" customHeight="1">
      <c r="A92" s="104">
        <f>IF(B92="","",ROW()-5)</f>
        <v/>
      </c>
      <c r="B92" s="61" t="n"/>
      <c r="C92" s="61" t="n"/>
      <c r="D92" s="105" t="n"/>
      <c r="E92" s="49" t="n"/>
      <c r="F92" s="105" t="n"/>
      <c r="G92" s="49" t="n"/>
      <c r="H92" s="106" t="n"/>
      <c r="I92" s="107" t="n"/>
      <c r="J92" s="107" t="n"/>
      <c r="K92" s="107" t="n"/>
      <c r="L92" s="107" t="n"/>
      <c r="M92" s="106" t="n"/>
      <c r="N92" s="62" t="n"/>
      <c r="O92" s="49" t="n"/>
      <c r="P92" s="49" t="n"/>
      <c r="Q92" s="105" t="n"/>
      <c r="R92" s="105" t="n"/>
      <c r="S92" s="105" t="n"/>
      <c r="T92" s="105" t="n"/>
      <c r="U92" s="108">
        <f>IF(OR(H92="",I92="",I92=0),"",H92/I92)</f>
        <v/>
      </c>
      <c r="V92" s="109">
        <f>IF(OR(B92="",C92="",L92=""),"",MAX(0,C92-B92))</f>
        <v/>
      </c>
      <c r="W92" s="110">
        <f>IF(OR(L92="",U92=""),"",IF(E92="Short",(I92-L92)*U92,(L92-I92)*U92))</f>
        <v/>
      </c>
      <c r="X92" s="110">
        <f>IF(W92="","",W92-IF(M92="",0,M92))</f>
        <v/>
      </c>
      <c r="Y92" s="111">
        <f>IF(OR(X92="",H92="",H92=0),"",X92/H92)</f>
        <v/>
      </c>
      <c r="Z92" s="112">
        <f>IF(OR(I92="",J92="",U92=""),"",ABS(I92-J92)*U92)</f>
        <v/>
      </c>
      <c r="AA92" s="113">
        <f>IF(OR(X92="",Z92="",Z92=0),"",X92/Z92)</f>
        <v/>
      </c>
      <c r="AB92" s="114">
        <f>IF(OR(I92="",J92="",K92="",I92=J92),"",ABS(K92-I92)/ABS(I92-J92))</f>
        <v/>
      </c>
      <c r="AC92" s="51">
        <f>IF(OR(B92="",D92="",H92="",I92=""),"",IF(L92="","Ouvert",IF(X92&gt;0,"Gagné",IF(X92&lt;0,"Perdu","Neutre"))))</f>
        <v/>
      </c>
      <c r="AD92" s="115">
        <f>IF(X92="","",IF(C92="",B92,C92))</f>
        <v/>
      </c>
      <c r="AE92" s="109">
        <f>IF(B92="","",WEEKDAY(B92,2))</f>
        <v/>
      </c>
      <c r="AF92" s="112">
        <f>IF(X92="","",'Paramètres'!$C$9+SUM($X$6:X92))</f>
        <v/>
      </c>
      <c r="AG92" s="112">
        <f>IF(AF92="","",MAX('Paramètres'!$C$9,MAX($AF$6:AF92)))</f>
        <v/>
      </c>
      <c r="AH92" s="116">
        <f>IF(AF92="","",AF92/AG92-1)</f>
        <v/>
      </c>
      <c r="AI92" s="109">
        <f>IF(X92="","",IF(X92&gt;0,IF(N(AI91)&gt;0,N(AI91)+1,1),IF(X92&lt;0,IF(N(AI91)&lt;0,N(AI91)-1,-1),0)))</f>
        <v/>
      </c>
      <c r="AJ92" s="116">
        <f>IF(Z92="","",IFERROR(Z92/('Paramètres'!$C$9+SUM($X$5:X91)),""))</f>
        <v/>
      </c>
      <c r="AK92" s="109">
        <f>IF(AC92="Ouvert",COUNTIF($AC$6:AC92,"Ouvert"),"")</f>
        <v/>
      </c>
    </row>
    <row r="93" ht="19" customHeight="1">
      <c r="A93" s="104">
        <f>IF(B93="","",ROW()-5)</f>
        <v/>
      </c>
      <c r="B93" s="61" t="n"/>
      <c r="C93" s="61" t="n"/>
      <c r="D93" s="105" t="n"/>
      <c r="E93" s="49" t="n"/>
      <c r="F93" s="105" t="n"/>
      <c r="G93" s="49" t="n"/>
      <c r="H93" s="106" t="n"/>
      <c r="I93" s="107" t="n"/>
      <c r="J93" s="107" t="n"/>
      <c r="K93" s="107" t="n"/>
      <c r="L93" s="107" t="n"/>
      <c r="M93" s="106" t="n"/>
      <c r="N93" s="62" t="n"/>
      <c r="O93" s="49" t="n"/>
      <c r="P93" s="49" t="n"/>
      <c r="Q93" s="105" t="n"/>
      <c r="R93" s="105" t="n"/>
      <c r="S93" s="105" t="n"/>
      <c r="T93" s="105" t="n"/>
      <c r="U93" s="108">
        <f>IF(OR(H93="",I93="",I93=0),"",H93/I93)</f>
        <v/>
      </c>
      <c r="V93" s="109">
        <f>IF(OR(B93="",C93="",L93=""),"",MAX(0,C93-B93))</f>
        <v/>
      </c>
      <c r="W93" s="110">
        <f>IF(OR(L93="",U93=""),"",IF(E93="Short",(I93-L93)*U93,(L93-I93)*U93))</f>
        <v/>
      </c>
      <c r="X93" s="110">
        <f>IF(W93="","",W93-IF(M93="",0,M93))</f>
        <v/>
      </c>
      <c r="Y93" s="111">
        <f>IF(OR(X93="",H93="",H93=0),"",X93/H93)</f>
        <v/>
      </c>
      <c r="Z93" s="112">
        <f>IF(OR(I93="",J93="",U93=""),"",ABS(I93-J93)*U93)</f>
        <v/>
      </c>
      <c r="AA93" s="113">
        <f>IF(OR(X93="",Z93="",Z93=0),"",X93/Z93)</f>
        <v/>
      </c>
      <c r="AB93" s="114">
        <f>IF(OR(I93="",J93="",K93="",I93=J93),"",ABS(K93-I93)/ABS(I93-J93))</f>
        <v/>
      </c>
      <c r="AC93" s="51">
        <f>IF(OR(B93="",D93="",H93="",I93=""),"",IF(L93="","Ouvert",IF(X93&gt;0,"Gagné",IF(X93&lt;0,"Perdu","Neutre"))))</f>
        <v/>
      </c>
      <c r="AD93" s="115">
        <f>IF(X93="","",IF(C93="",B93,C93))</f>
        <v/>
      </c>
      <c r="AE93" s="109">
        <f>IF(B93="","",WEEKDAY(B93,2))</f>
        <v/>
      </c>
      <c r="AF93" s="112">
        <f>IF(X93="","",'Paramètres'!$C$9+SUM($X$6:X93))</f>
        <v/>
      </c>
      <c r="AG93" s="112">
        <f>IF(AF93="","",MAX('Paramètres'!$C$9,MAX($AF$6:AF93)))</f>
        <v/>
      </c>
      <c r="AH93" s="116">
        <f>IF(AF93="","",AF93/AG93-1)</f>
        <v/>
      </c>
      <c r="AI93" s="109">
        <f>IF(X93="","",IF(X93&gt;0,IF(N(AI92)&gt;0,N(AI92)+1,1),IF(X93&lt;0,IF(N(AI92)&lt;0,N(AI92)-1,-1),0)))</f>
        <v/>
      </c>
      <c r="AJ93" s="116">
        <f>IF(Z93="","",IFERROR(Z93/('Paramètres'!$C$9+SUM($X$5:X92)),""))</f>
        <v/>
      </c>
      <c r="AK93" s="109">
        <f>IF(AC93="Ouvert",COUNTIF($AC$6:AC93,"Ouvert"),"")</f>
        <v/>
      </c>
    </row>
    <row r="94" ht="19" customHeight="1">
      <c r="A94" s="104">
        <f>IF(B94="","",ROW()-5)</f>
        <v/>
      </c>
      <c r="B94" s="61" t="n"/>
      <c r="C94" s="61" t="n"/>
      <c r="D94" s="105" t="n"/>
      <c r="E94" s="49" t="n"/>
      <c r="F94" s="105" t="n"/>
      <c r="G94" s="49" t="n"/>
      <c r="H94" s="106" t="n"/>
      <c r="I94" s="107" t="n"/>
      <c r="J94" s="107" t="n"/>
      <c r="K94" s="107" t="n"/>
      <c r="L94" s="107" t="n"/>
      <c r="M94" s="106" t="n"/>
      <c r="N94" s="62" t="n"/>
      <c r="O94" s="49" t="n"/>
      <c r="P94" s="49" t="n"/>
      <c r="Q94" s="105" t="n"/>
      <c r="R94" s="105" t="n"/>
      <c r="S94" s="105" t="n"/>
      <c r="T94" s="105" t="n"/>
      <c r="U94" s="108">
        <f>IF(OR(H94="",I94="",I94=0),"",H94/I94)</f>
        <v/>
      </c>
      <c r="V94" s="109">
        <f>IF(OR(B94="",C94="",L94=""),"",MAX(0,C94-B94))</f>
        <v/>
      </c>
      <c r="W94" s="110">
        <f>IF(OR(L94="",U94=""),"",IF(E94="Short",(I94-L94)*U94,(L94-I94)*U94))</f>
        <v/>
      </c>
      <c r="X94" s="110">
        <f>IF(W94="","",W94-IF(M94="",0,M94))</f>
        <v/>
      </c>
      <c r="Y94" s="111">
        <f>IF(OR(X94="",H94="",H94=0),"",X94/H94)</f>
        <v/>
      </c>
      <c r="Z94" s="112">
        <f>IF(OR(I94="",J94="",U94=""),"",ABS(I94-J94)*U94)</f>
        <v/>
      </c>
      <c r="AA94" s="113">
        <f>IF(OR(X94="",Z94="",Z94=0),"",X94/Z94)</f>
        <v/>
      </c>
      <c r="AB94" s="114">
        <f>IF(OR(I94="",J94="",K94="",I94=J94),"",ABS(K94-I94)/ABS(I94-J94))</f>
        <v/>
      </c>
      <c r="AC94" s="51">
        <f>IF(OR(B94="",D94="",H94="",I94=""),"",IF(L94="","Ouvert",IF(X94&gt;0,"Gagné",IF(X94&lt;0,"Perdu","Neutre"))))</f>
        <v/>
      </c>
      <c r="AD94" s="115">
        <f>IF(X94="","",IF(C94="",B94,C94))</f>
        <v/>
      </c>
      <c r="AE94" s="109">
        <f>IF(B94="","",WEEKDAY(B94,2))</f>
        <v/>
      </c>
      <c r="AF94" s="112">
        <f>IF(X94="","",'Paramètres'!$C$9+SUM($X$6:X94))</f>
        <v/>
      </c>
      <c r="AG94" s="112">
        <f>IF(AF94="","",MAX('Paramètres'!$C$9,MAX($AF$6:AF94)))</f>
        <v/>
      </c>
      <c r="AH94" s="116">
        <f>IF(AF94="","",AF94/AG94-1)</f>
        <v/>
      </c>
      <c r="AI94" s="109">
        <f>IF(X94="","",IF(X94&gt;0,IF(N(AI93)&gt;0,N(AI93)+1,1),IF(X94&lt;0,IF(N(AI93)&lt;0,N(AI93)-1,-1),0)))</f>
        <v/>
      </c>
      <c r="AJ94" s="116">
        <f>IF(Z94="","",IFERROR(Z94/('Paramètres'!$C$9+SUM($X$5:X93)),""))</f>
        <v/>
      </c>
      <c r="AK94" s="109">
        <f>IF(AC94="Ouvert",COUNTIF($AC$6:AC94,"Ouvert"),"")</f>
        <v/>
      </c>
    </row>
    <row r="95" ht="19" customHeight="1">
      <c r="A95" s="104">
        <f>IF(B95="","",ROW()-5)</f>
        <v/>
      </c>
      <c r="B95" s="61" t="n"/>
      <c r="C95" s="61" t="n"/>
      <c r="D95" s="105" t="n"/>
      <c r="E95" s="49" t="n"/>
      <c r="F95" s="105" t="n"/>
      <c r="G95" s="49" t="n"/>
      <c r="H95" s="106" t="n"/>
      <c r="I95" s="107" t="n"/>
      <c r="J95" s="107" t="n"/>
      <c r="K95" s="107" t="n"/>
      <c r="L95" s="107" t="n"/>
      <c r="M95" s="106" t="n"/>
      <c r="N95" s="62" t="n"/>
      <c r="O95" s="49" t="n"/>
      <c r="P95" s="49" t="n"/>
      <c r="Q95" s="105" t="n"/>
      <c r="R95" s="105" t="n"/>
      <c r="S95" s="105" t="n"/>
      <c r="T95" s="105" t="n"/>
      <c r="U95" s="108">
        <f>IF(OR(H95="",I95="",I95=0),"",H95/I95)</f>
        <v/>
      </c>
      <c r="V95" s="109">
        <f>IF(OR(B95="",C95="",L95=""),"",MAX(0,C95-B95))</f>
        <v/>
      </c>
      <c r="W95" s="110">
        <f>IF(OR(L95="",U95=""),"",IF(E95="Short",(I95-L95)*U95,(L95-I95)*U95))</f>
        <v/>
      </c>
      <c r="X95" s="110">
        <f>IF(W95="","",W95-IF(M95="",0,M95))</f>
        <v/>
      </c>
      <c r="Y95" s="111">
        <f>IF(OR(X95="",H95="",H95=0),"",X95/H95)</f>
        <v/>
      </c>
      <c r="Z95" s="112">
        <f>IF(OR(I95="",J95="",U95=""),"",ABS(I95-J95)*U95)</f>
        <v/>
      </c>
      <c r="AA95" s="113">
        <f>IF(OR(X95="",Z95="",Z95=0),"",X95/Z95)</f>
        <v/>
      </c>
      <c r="AB95" s="114">
        <f>IF(OR(I95="",J95="",K95="",I95=J95),"",ABS(K95-I95)/ABS(I95-J95))</f>
        <v/>
      </c>
      <c r="AC95" s="51">
        <f>IF(OR(B95="",D95="",H95="",I95=""),"",IF(L95="","Ouvert",IF(X95&gt;0,"Gagné",IF(X95&lt;0,"Perdu","Neutre"))))</f>
        <v/>
      </c>
      <c r="AD95" s="115">
        <f>IF(X95="","",IF(C95="",B95,C95))</f>
        <v/>
      </c>
      <c r="AE95" s="109">
        <f>IF(B95="","",WEEKDAY(B95,2))</f>
        <v/>
      </c>
      <c r="AF95" s="112">
        <f>IF(X95="","",'Paramètres'!$C$9+SUM($X$6:X95))</f>
        <v/>
      </c>
      <c r="AG95" s="112">
        <f>IF(AF95="","",MAX('Paramètres'!$C$9,MAX($AF$6:AF95)))</f>
        <v/>
      </c>
      <c r="AH95" s="116">
        <f>IF(AF95="","",AF95/AG95-1)</f>
        <v/>
      </c>
      <c r="AI95" s="109">
        <f>IF(X95="","",IF(X95&gt;0,IF(N(AI94)&gt;0,N(AI94)+1,1),IF(X95&lt;0,IF(N(AI94)&lt;0,N(AI94)-1,-1),0)))</f>
        <v/>
      </c>
      <c r="AJ95" s="116">
        <f>IF(Z95="","",IFERROR(Z95/('Paramètres'!$C$9+SUM($X$5:X94)),""))</f>
        <v/>
      </c>
      <c r="AK95" s="109">
        <f>IF(AC95="Ouvert",COUNTIF($AC$6:AC95,"Ouvert"),"")</f>
        <v/>
      </c>
    </row>
    <row r="96" ht="19" customHeight="1">
      <c r="A96" s="104">
        <f>IF(B96="","",ROW()-5)</f>
        <v/>
      </c>
      <c r="B96" s="61" t="n"/>
      <c r="C96" s="61" t="n"/>
      <c r="D96" s="105" t="n"/>
      <c r="E96" s="49" t="n"/>
      <c r="F96" s="105" t="n"/>
      <c r="G96" s="49" t="n"/>
      <c r="H96" s="106" t="n"/>
      <c r="I96" s="107" t="n"/>
      <c r="J96" s="107" t="n"/>
      <c r="K96" s="107" t="n"/>
      <c r="L96" s="107" t="n"/>
      <c r="M96" s="106" t="n"/>
      <c r="N96" s="62" t="n"/>
      <c r="O96" s="49" t="n"/>
      <c r="P96" s="49" t="n"/>
      <c r="Q96" s="105" t="n"/>
      <c r="R96" s="105" t="n"/>
      <c r="S96" s="105" t="n"/>
      <c r="T96" s="105" t="n"/>
      <c r="U96" s="108">
        <f>IF(OR(H96="",I96="",I96=0),"",H96/I96)</f>
        <v/>
      </c>
      <c r="V96" s="109">
        <f>IF(OR(B96="",C96="",L96=""),"",MAX(0,C96-B96))</f>
        <v/>
      </c>
      <c r="W96" s="110">
        <f>IF(OR(L96="",U96=""),"",IF(E96="Short",(I96-L96)*U96,(L96-I96)*U96))</f>
        <v/>
      </c>
      <c r="X96" s="110">
        <f>IF(W96="","",W96-IF(M96="",0,M96))</f>
        <v/>
      </c>
      <c r="Y96" s="111">
        <f>IF(OR(X96="",H96="",H96=0),"",X96/H96)</f>
        <v/>
      </c>
      <c r="Z96" s="112">
        <f>IF(OR(I96="",J96="",U96=""),"",ABS(I96-J96)*U96)</f>
        <v/>
      </c>
      <c r="AA96" s="113">
        <f>IF(OR(X96="",Z96="",Z96=0),"",X96/Z96)</f>
        <v/>
      </c>
      <c r="AB96" s="114">
        <f>IF(OR(I96="",J96="",K96="",I96=J96),"",ABS(K96-I96)/ABS(I96-J96))</f>
        <v/>
      </c>
      <c r="AC96" s="51">
        <f>IF(OR(B96="",D96="",H96="",I96=""),"",IF(L96="","Ouvert",IF(X96&gt;0,"Gagné",IF(X96&lt;0,"Perdu","Neutre"))))</f>
        <v/>
      </c>
      <c r="AD96" s="115">
        <f>IF(X96="","",IF(C96="",B96,C96))</f>
        <v/>
      </c>
      <c r="AE96" s="109">
        <f>IF(B96="","",WEEKDAY(B96,2))</f>
        <v/>
      </c>
      <c r="AF96" s="112">
        <f>IF(X96="","",'Paramètres'!$C$9+SUM($X$6:X96))</f>
        <v/>
      </c>
      <c r="AG96" s="112">
        <f>IF(AF96="","",MAX('Paramètres'!$C$9,MAX($AF$6:AF96)))</f>
        <v/>
      </c>
      <c r="AH96" s="116">
        <f>IF(AF96="","",AF96/AG96-1)</f>
        <v/>
      </c>
      <c r="AI96" s="109">
        <f>IF(X96="","",IF(X96&gt;0,IF(N(AI95)&gt;0,N(AI95)+1,1),IF(X96&lt;0,IF(N(AI95)&lt;0,N(AI95)-1,-1),0)))</f>
        <v/>
      </c>
      <c r="AJ96" s="116">
        <f>IF(Z96="","",IFERROR(Z96/('Paramètres'!$C$9+SUM($X$5:X95)),""))</f>
        <v/>
      </c>
      <c r="AK96" s="109">
        <f>IF(AC96="Ouvert",COUNTIF($AC$6:AC96,"Ouvert"),"")</f>
        <v/>
      </c>
    </row>
    <row r="97" ht="19" customHeight="1">
      <c r="A97" s="104">
        <f>IF(B97="","",ROW()-5)</f>
        <v/>
      </c>
      <c r="B97" s="61" t="n"/>
      <c r="C97" s="61" t="n"/>
      <c r="D97" s="105" t="n"/>
      <c r="E97" s="49" t="n"/>
      <c r="F97" s="105" t="n"/>
      <c r="G97" s="49" t="n"/>
      <c r="H97" s="106" t="n"/>
      <c r="I97" s="107" t="n"/>
      <c r="J97" s="107" t="n"/>
      <c r="K97" s="107" t="n"/>
      <c r="L97" s="107" t="n"/>
      <c r="M97" s="106" t="n"/>
      <c r="N97" s="62" t="n"/>
      <c r="O97" s="49" t="n"/>
      <c r="P97" s="49" t="n"/>
      <c r="Q97" s="105" t="n"/>
      <c r="R97" s="105" t="n"/>
      <c r="S97" s="105" t="n"/>
      <c r="T97" s="105" t="n"/>
      <c r="U97" s="108">
        <f>IF(OR(H97="",I97="",I97=0),"",H97/I97)</f>
        <v/>
      </c>
      <c r="V97" s="109">
        <f>IF(OR(B97="",C97="",L97=""),"",MAX(0,C97-B97))</f>
        <v/>
      </c>
      <c r="W97" s="110">
        <f>IF(OR(L97="",U97=""),"",IF(E97="Short",(I97-L97)*U97,(L97-I97)*U97))</f>
        <v/>
      </c>
      <c r="X97" s="110">
        <f>IF(W97="","",W97-IF(M97="",0,M97))</f>
        <v/>
      </c>
      <c r="Y97" s="111">
        <f>IF(OR(X97="",H97="",H97=0),"",X97/H97)</f>
        <v/>
      </c>
      <c r="Z97" s="112">
        <f>IF(OR(I97="",J97="",U97=""),"",ABS(I97-J97)*U97)</f>
        <v/>
      </c>
      <c r="AA97" s="113">
        <f>IF(OR(X97="",Z97="",Z97=0),"",X97/Z97)</f>
        <v/>
      </c>
      <c r="AB97" s="114">
        <f>IF(OR(I97="",J97="",K97="",I97=J97),"",ABS(K97-I97)/ABS(I97-J97))</f>
        <v/>
      </c>
      <c r="AC97" s="51">
        <f>IF(OR(B97="",D97="",H97="",I97=""),"",IF(L97="","Ouvert",IF(X97&gt;0,"Gagné",IF(X97&lt;0,"Perdu","Neutre"))))</f>
        <v/>
      </c>
      <c r="AD97" s="115">
        <f>IF(X97="","",IF(C97="",B97,C97))</f>
        <v/>
      </c>
      <c r="AE97" s="109">
        <f>IF(B97="","",WEEKDAY(B97,2))</f>
        <v/>
      </c>
      <c r="AF97" s="112">
        <f>IF(X97="","",'Paramètres'!$C$9+SUM($X$6:X97))</f>
        <v/>
      </c>
      <c r="AG97" s="112">
        <f>IF(AF97="","",MAX('Paramètres'!$C$9,MAX($AF$6:AF97)))</f>
        <v/>
      </c>
      <c r="AH97" s="116">
        <f>IF(AF97="","",AF97/AG97-1)</f>
        <v/>
      </c>
      <c r="AI97" s="109">
        <f>IF(X97="","",IF(X97&gt;0,IF(N(AI96)&gt;0,N(AI96)+1,1),IF(X97&lt;0,IF(N(AI96)&lt;0,N(AI96)-1,-1),0)))</f>
        <v/>
      </c>
      <c r="AJ97" s="116">
        <f>IF(Z97="","",IFERROR(Z97/('Paramètres'!$C$9+SUM($X$5:X96)),""))</f>
        <v/>
      </c>
      <c r="AK97" s="109">
        <f>IF(AC97="Ouvert",COUNTIF($AC$6:AC97,"Ouvert"),"")</f>
        <v/>
      </c>
    </row>
    <row r="98" ht="19" customHeight="1">
      <c r="A98" s="104">
        <f>IF(B98="","",ROW()-5)</f>
        <v/>
      </c>
      <c r="B98" s="61" t="n"/>
      <c r="C98" s="61" t="n"/>
      <c r="D98" s="105" t="n"/>
      <c r="E98" s="49" t="n"/>
      <c r="F98" s="105" t="n"/>
      <c r="G98" s="49" t="n"/>
      <c r="H98" s="106" t="n"/>
      <c r="I98" s="107" t="n"/>
      <c r="J98" s="107" t="n"/>
      <c r="K98" s="107" t="n"/>
      <c r="L98" s="107" t="n"/>
      <c r="M98" s="106" t="n"/>
      <c r="N98" s="62" t="n"/>
      <c r="O98" s="49" t="n"/>
      <c r="P98" s="49" t="n"/>
      <c r="Q98" s="105" t="n"/>
      <c r="R98" s="105" t="n"/>
      <c r="S98" s="105" t="n"/>
      <c r="T98" s="105" t="n"/>
      <c r="U98" s="108">
        <f>IF(OR(H98="",I98="",I98=0),"",H98/I98)</f>
        <v/>
      </c>
      <c r="V98" s="109">
        <f>IF(OR(B98="",C98="",L98=""),"",MAX(0,C98-B98))</f>
        <v/>
      </c>
      <c r="W98" s="110">
        <f>IF(OR(L98="",U98=""),"",IF(E98="Short",(I98-L98)*U98,(L98-I98)*U98))</f>
        <v/>
      </c>
      <c r="X98" s="110">
        <f>IF(W98="","",W98-IF(M98="",0,M98))</f>
        <v/>
      </c>
      <c r="Y98" s="111">
        <f>IF(OR(X98="",H98="",H98=0),"",X98/H98)</f>
        <v/>
      </c>
      <c r="Z98" s="112">
        <f>IF(OR(I98="",J98="",U98=""),"",ABS(I98-J98)*U98)</f>
        <v/>
      </c>
      <c r="AA98" s="113">
        <f>IF(OR(X98="",Z98="",Z98=0),"",X98/Z98)</f>
        <v/>
      </c>
      <c r="AB98" s="114">
        <f>IF(OR(I98="",J98="",K98="",I98=J98),"",ABS(K98-I98)/ABS(I98-J98))</f>
        <v/>
      </c>
      <c r="AC98" s="51">
        <f>IF(OR(B98="",D98="",H98="",I98=""),"",IF(L98="","Ouvert",IF(X98&gt;0,"Gagné",IF(X98&lt;0,"Perdu","Neutre"))))</f>
        <v/>
      </c>
      <c r="AD98" s="115">
        <f>IF(X98="","",IF(C98="",B98,C98))</f>
        <v/>
      </c>
      <c r="AE98" s="109">
        <f>IF(B98="","",WEEKDAY(B98,2))</f>
        <v/>
      </c>
      <c r="AF98" s="112">
        <f>IF(X98="","",'Paramètres'!$C$9+SUM($X$6:X98))</f>
        <v/>
      </c>
      <c r="AG98" s="112">
        <f>IF(AF98="","",MAX('Paramètres'!$C$9,MAX($AF$6:AF98)))</f>
        <v/>
      </c>
      <c r="AH98" s="116">
        <f>IF(AF98="","",AF98/AG98-1)</f>
        <v/>
      </c>
      <c r="AI98" s="109">
        <f>IF(X98="","",IF(X98&gt;0,IF(N(AI97)&gt;0,N(AI97)+1,1),IF(X98&lt;0,IF(N(AI97)&lt;0,N(AI97)-1,-1),0)))</f>
        <v/>
      </c>
      <c r="AJ98" s="116">
        <f>IF(Z98="","",IFERROR(Z98/('Paramètres'!$C$9+SUM($X$5:X97)),""))</f>
        <v/>
      </c>
      <c r="AK98" s="109">
        <f>IF(AC98="Ouvert",COUNTIF($AC$6:AC98,"Ouvert"),"")</f>
        <v/>
      </c>
    </row>
    <row r="99" ht="19" customHeight="1">
      <c r="A99" s="104">
        <f>IF(B99="","",ROW()-5)</f>
        <v/>
      </c>
      <c r="B99" s="61" t="n"/>
      <c r="C99" s="61" t="n"/>
      <c r="D99" s="105" t="n"/>
      <c r="E99" s="49" t="n"/>
      <c r="F99" s="105" t="n"/>
      <c r="G99" s="49" t="n"/>
      <c r="H99" s="106" t="n"/>
      <c r="I99" s="107" t="n"/>
      <c r="J99" s="107" t="n"/>
      <c r="K99" s="107" t="n"/>
      <c r="L99" s="107" t="n"/>
      <c r="M99" s="106" t="n"/>
      <c r="N99" s="62" t="n"/>
      <c r="O99" s="49" t="n"/>
      <c r="P99" s="49" t="n"/>
      <c r="Q99" s="105" t="n"/>
      <c r="R99" s="105" t="n"/>
      <c r="S99" s="105" t="n"/>
      <c r="T99" s="105" t="n"/>
      <c r="U99" s="108">
        <f>IF(OR(H99="",I99="",I99=0),"",H99/I99)</f>
        <v/>
      </c>
      <c r="V99" s="109">
        <f>IF(OR(B99="",C99="",L99=""),"",MAX(0,C99-B99))</f>
        <v/>
      </c>
      <c r="W99" s="110">
        <f>IF(OR(L99="",U99=""),"",IF(E99="Short",(I99-L99)*U99,(L99-I99)*U99))</f>
        <v/>
      </c>
      <c r="X99" s="110">
        <f>IF(W99="","",W99-IF(M99="",0,M99))</f>
        <v/>
      </c>
      <c r="Y99" s="111">
        <f>IF(OR(X99="",H99="",H99=0),"",X99/H99)</f>
        <v/>
      </c>
      <c r="Z99" s="112">
        <f>IF(OR(I99="",J99="",U99=""),"",ABS(I99-J99)*U99)</f>
        <v/>
      </c>
      <c r="AA99" s="113">
        <f>IF(OR(X99="",Z99="",Z99=0),"",X99/Z99)</f>
        <v/>
      </c>
      <c r="AB99" s="114">
        <f>IF(OR(I99="",J99="",K99="",I99=J99),"",ABS(K99-I99)/ABS(I99-J99))</f>
        <v/>
      </c>
      <c r="AC99" s="51">
        <f>IF(OR(B99="",D99="",H99="",I99=""),"",IF(L99="","Ouvert",IF(X99&gt;0,"Gagné",IF(X99&lt;0,"Perdu","Neutre"))))</f>
        <v/>
      </c>
      <c r="AD99" s="115">
        <f>IF(X99="","",IF(C99="",B99,C99))</f>
        <v/>
      </c>
      <c r="AE99" s="109">
        <f>IF(B99="","",WEEKDAY(B99,2))</f>
        <v/>
      </c>
      <c r="AF99" s="112">
        <f>IF(X99="","",'Paramètres'!$C$9+SUM($X$6:X99))</f>
        <v/>
      </c>
      <c r="AG99" s="112">
        <f>IF(AF99="","",MAX('Paramètres'!$C$9,MAX($AF$6:AF99)))</f>
        <v/>
      </c>
      <c r="AH99" s="116">
        <f>IF(AF99="","",AF99/AG99-1)</f>
        <v/>
      </c>
      <c r="AI99" s="109">
        <f>IF(X99="","",IF(X99&gt;0,IF(N(AI98)&gt;0,N(AI98)+1,1),IF(X99&lt;0,IF(N(AI98)&lt;0,N(AI98)-1,-1),0)))</f>
        <v/>
      </c>
      <c r="AJ99" s="116">
        <f>IF(Z99="","",IFERROR(Z99/('Paramètres'!$C$9+SUM($X$5:X98)),""))</f>
        <v/>
      </c>
      <c r="AK99" s="109">
        <f>IF(AC99="Ouvert",COUNTIF($AC$6:AC99,"Ouvert"),"")</f>
        <v/>
      </c>
    </row>
    <row r="100" ht="19" customHeight="1">
      <c r="A100" s="104">
        <f>IF(B100="","",ROW()-5)</f>
        <v/>
      </c>
      <c r="B100" s="61" t="n"/>
      <c r="C100" s="61" t="n"/>
      <c r="D100" s="105" t="n"/>
      <c r="E100" s="49" t="n"/>
      <c r="F100" s="105" t="n"/>
      <c r="G100" s="49" t="n"/>
      <c r="H100" s="106" t="n"/>
      <c r="I100" s="107" t="n"/>
      <c r="J100" s="107" t="n"/>
      <c r="K100" s="107" t="n"/>
      <c r="L100" s="107" t="n"/>
      <c r="M100" s="106" t="n"/>
      <c r="N100" s="62" t="n"/>
      <c r="O100" s="49" t="n"/>
      <c r="P100" s="49" t="n"/>
      <c r="Q100" s="105" t="n"/>
      <c r="R100" s="105" t="n"/>
      <c r="S100" s="105" t="n"/>
      <c r="T100" s="105" t="n"/>
      <c r="U100" s="108">
        <f>IF(OR(H100="",I100="",I100=0),"",H100/I100)</f>
        <v/>
      </c>
      <c r="V100" s="109">
        <f>IF(OR(B100="",C100="",L100=""),"",MAX(0,C100-B100))</f>
        <v/>
      </c>
      <c r="W100" s="110">
        <f>IF(OR(L100="",U100=""),"",IF(E100="Short",(I100-L100)*U100,(L100-I100)*U100))</f>
        <v/>
      </c>
      <c r="X100" s="110">
        <f>IF(W100="","",W100-IF(M100="",0,M100))</f>
        <v/>
      </c>
      <c r="Y100" s="111">
        <f>IF(OR(X100="",H100="",H100=0),"",X100/H100)</f>
        <v/>
      </c>
      <c r="Z100" s="112">
        <f>IF(OR(I100="",J100="",U100=""),"",ABS(I100-J100)*U100)</f>
        <v/>
      </c>
      <c r="AA100" s="113">
        <f>IF(OR(X100="",Z100="",Z100=0),"",X100/Z100)</f>
        <v/>
      </c>
      <c r="AB100" s="114">
        <f>IF(OR(I100="",J100="",K100="",I100=J100),"",ABS(K100-I100)/ABS(I100-J100))</f>
        <v/>
      </c>
      <c r="AC100" s="51">
        <f>IF(OR(B100="",D100="",H100="",I100=""),"",IF(L100="","Ouvert",IF(X100&gt;0,"Gagné",IF(X100&lt;0,"Perdu","Neutre"))))</f>
        <v/>
      </c>
      <c r="AD100" s="115">
        <f>IF(X100="","",IF(C100="",B100,C100))</f>
        <v/>
      </c>
      <c r="AE100" s="109">
        <f>IF(B100="","",WEEKDAY(B100,2))</f>
        <v/>
      </c>
      <c r="AF100" s="112">
        <f>IF(X100="","",'Paramètres'!$C$9+SUM($X$6:X100))</f>
        <v/>
      </c>
      <c r="AG100" s="112">
        <f>IF(AF100="","",MAX('Paramètres'!$C$9,MAX($AF$6:AF100)))</f>
        <v/>
      </c>
      <c r="AH100" s="116">
        <f>IF(AF100="","",AF100/AG100-1)</f>
        <v/>
      </c>
      <c r="AI100" s="109">
        <f>IF(X100="","",IF(X100&gt;0,IF(N(AI99)&gt;0,N(AI99)+1,1),IF(X100&lt;0,IF(N(AI99)&lt;0,N(AI99)-1,-1),0)))</f>
        <v/>
      </c>
      <c r="AJ100" s="116">
        <f>IF(Z100="","",IFERROR(Z100/('Paramètres'!$C$9+SUM($X$5:X99)),""))</f>
        <v/>
      </c>
      <c r="AK100" s="109">
        <f>IF(AC100="Ouvert",COUNTIF($AC$6:AC100,"Ouvert"),"")</f>
        <v/>
      </c>
    </row>
    <row r="101" ht="19" customHeight="1">
      <c r="A101" s="104">
        <f>IF(B101="","",ROW()-5)</f>
        <v/>
      </c>
      <c r="B101" s="61" t="n"/>
      <c r="C101" s="61" t="n"/>
      <c r="D101" s="105" t="n"/>
      <c r="E101" s="49" t="n"/>
      <c r="F101" s="105" t="n"/>
      <c r="G101" s="49" t="n"/>
      <c r="H101" s="106" t="n"/>
      <c r="I101" s="107" t="n"/>
      <c r="J101" s="107" t="n"/>
      <c r="K101" s="107" t="n"/>
      <c r="L101" s="107" t="n"/>
      <c r="M101" s="106" t="n"/>
      <c r="N101" s="62" t="n"/>
      <c r="O101" s="49" t="n"/>
      <c r="P101" s="49" t="n"/>
      <c r="Q101" s="105" t="n"/>
      <c r="R101" s="105" t="n"/>
      <c r="S101" s="105" t="n"/>
      <c r="T101" s="105" t="n"/>
      <c r="U101" s="108">
        <f>IF(OR(H101="",I101="",I101=0),"",H101/I101)</f>
        <v/>
      </c>
      <c r="V101" s="109">
        <f>IF(OR(B101="",C101="",L101=""),"",MAX(0,C101-B101))</f>
        <v/>
      </c>
      <c r="W101" s="110">
        <f>IF(OR(L101="",U101=""),"",IF(E101="Short",(I101-L101)*U101,(L101-I101)*U101))</f>
        <v/>
      </c>
      <c r="X101" s="110">
        <f>IF(W101="","",W101-IF(M101="",0,M101))</f>
        <v/>
      </c>
      <c r="Y101" s="111">
        <f>IF(OR(X101="",H101="",H101=0),"",X101/H101)</f>
        <v/>
      </c>
      <c r="Z101" s="112">
        <f>IF(OR(I101="",J101="",U101=""),"",ABS(I101-J101)*U101)</f>
        <v/>
      </c>
      <c r="AA101" s="113">
        <f>IF(OR(X101="",Z101="",Z101=0),"",X101/Z101)</f>
        <v/>
      </c>
      <c r="AB101" s="114">
        <f>IF(OR(I101="",J101="",K101="",I101=J101),"",ABS(K101-I101)/ABS(I101-J101))</f>
        <v/>
      </c>
      <c r="AC101" s="51">
        <f>IF(OR(B101="",D101="",H101="",I101=""),"",IF(L101="","Ouvert",IF(X101&gt;0,"Gagné",IF(X101&lt;0,"Perdu","Neutre"))))</f>
        <v/>
      </c>
      <c r="AD101" s="115">
        <f>IF(X101="","",IF(C101="",B101,C101))</f>
        <v/>
      </c>
      <c r="AE101" s="109">
        <f>IF(B101="","",WEEKDAY(B101,2))</f>
        <v/>
      </c>
      <c r="AF101" s="112">
        <f>IF(X101="","",'Paramètres'!$C$9+SUM($X$6:X101))</f>
        <v/>
      </c>
      <c r="AG101" s="112">
        <f>IF(AF101="","",MAX('Paramètres'!$C$9,MAX($AF$6:AF101)))</f>
        <v/>
      </c>
      <c r="AH101" s="116">
        <f>IF(AF101="","",AF101/AG101-1)</f>
        <v/>
      </c>
      <c r="AI101" s="109">
        <f>IF(X101="","",IF(X101&gt;0,IF(N(AI100)&gt;0,N(AI100)+1,1),IF(X101&lt;0,IF(N(AI100)&lt;0,N(AI100)-1,-1),0)))</f>
        <v/>
      </c>
      <c r="AJ101" s="116">
        <f>IF(Z101="","",IFERROR(Z101/('Paramètres'!$C$9+SUM($X$5:X100)),""))</f>
        <v/>
      </c>
      <c r="AK101" s="109">
        <f>IF(AC101="Ouvert",COUNTIF($AC$6:AC101,"Ouvert"),"")</f>
        <v/>
      </c>
    </row>
    <row r="102" ht="19" customHeight="1">
      <c r="A102" s="104">
        <f>IF(B102="","",ROW()-5)</f>
        <v/>
      </c>
      <c r="B102" s="61" t="n"/>
      <c r="C102" s="61" t="n"/>
      <c r="D102" s="105" t="n"/>
      <c r="E102" s="49" t="n"/>
      <c r="F102" s="105" t="n"/>
      <c r="G102" s="49" t="n"/>
      <c r="H102" s="106" t="n"/>
      <c r="I102" s="107" t="n"/>
      <c r="J102" s="107" t="n"/>
      <c r="K102" s="107" t="n"/>
      <c r="L102" s="107" t="n"/>
      <c r="M102" s="106" t="n"/>
      <c r="N102" s="62" t="n"/>
      <c r="O102" s="49" t="n"/>
      <c r="P102" s="49" t="n"/>
      <c r="Q102" s="105" t="n"/>
      <c r="R102" s="105" t="n"/>
      <c r="S102" s="105" t="n"/>
      <c r="T102" s="105" t="n"/>
      <c r="U102" s="108">
        <f>IF(OR(H102="",I102="",I102=0),"",H102/I102)</f>
        <v/>
      </c>
      <c r="V102" s="109">
        <f>IF(OR(B102="",C102="",L102=""),"",MAX(0,C102-B102))</f>
        <v/>
      </c>
      <c r="W102" s="110">
        <f>IF(OR(L102="",U102=""),"",IF(E102="Short",(I102-L102)*U102,(L102-I102)*U102))</f>
        <v/>
      </c>
      <c r="X102" s="110">
        <f>IF(W102="","",W102-IF(M102="",0,M102))</f>
        <v/>
      </c>
      <c r="Y102" s="111">
        <f>IF(OR(X102="",H102="",H102=0),"",X102/H102)</f>
        <v/>
      </c>
      <c r="Z102" s="112">
        <f>IF(OR(I102="",J102="",U102=""),"",ABS(I102-J102)*U102)</f>
        <v/>
      </c>
      <c r="AA102" s="113">
        <f>IF(OR(X102="",Z102="",Z102=0),"",X102/Z102)</f>
        <v/>
      </c>
      <c r="AB102" s="114">
        <f>IF(OR(I102="",J102="",K102="",I102=J102),"",ABS(K102-I102)/ABS(I102-J102))</f>
        <v/>
      </c>
      <c r="AC102" s="51">
        <f>IF(OR(B102="",D102="",H102="",I102=""),"",IF(L102="","Ouvert",IF(X102&gt;0,"Gagné",IF(X102&lt;0,"Perdu","Neutre"))))</f>
        <v/>
      </c>
      <c r="AD102" s="115">
        <f>IF(X102="","",IF(C102="",B102,C102))</f>
        <v/>
      </c>
      <c r="AE102" s="109">
        <f>IF(B102="","",WEEKDAY(B102,2))</f>
        <v/>
      </c>
      <c r="AF102" s="112">
        <f>IF(X102="","",'Paramètres'!$C$9+SUM($X$6:X102))</f>
        <v/>
      </c>
      <c r="AG102" s="112">
        <f>IF(AF102="","",MAX('Paramètres'!$C$9,MAX($AF$6:AF102)))</f>
        <v/>
      </c>
      <c r="AH102" s="116">
        <f>IF(AF102="","",AF102/AG102-1)</f>
        <v/>
      </c>
      <c r="AI102" s="109">
        <f>IF(X102="","",IF(X102&gt;0,IF(N(AI101)&gt;0,N(AI101)+1,1),IF(X102&lt;0,IF(N(AI101)&lt;0,N(AI101)-1,-1),0)))</f>
        <v/>
      </c>
      <c r="AJ102" s="116">
        <f>IF(Z102="","",IFERROR(Z102/('Paramètres'!$C$9+SUM($X$5:X101)),""))</f>
        <v/>
      </c>
      <c r="AK102" s="109">
        <f>IF(AC102="Ouvert",COUNTIF($AC$6:AC102,"Ouvert"),"")</f>
        <v/>
      </c>
    </row>
    <row r="103" ht="19" customHeight="1">
      <c r="A103" s="104">
        <f>IF(B103="","",ROW()-5)</f>
        <v/>
      </c>
      <c r="B103" s="61" t="n"/>
      <c r="C103" s="61" t="n"/>
      <c r="D103" s="105" t="n"/>
      <c r="E103" s="49" t="n"/>
      <c r="F103" s="105" t="n"/>
      <c r="G103" s="49" t="n"/>
      <c r="H103" s="106" t="n"/>
      <c r="I103" s="107" t="n"/>
      <c r="J103" s="107" t="n"/>
      <c r="K103" s="107" t="n"/>
      <c r="L103" s="107" t="n"/>
      <c r="M103" s="106" t="n"/>
      <c r="N103" s="62" t="n"/>
      <c r="O103" s="49" t="n"/>
      <c r="P103" s="49" t="n"/>
      <c r="Q103" s="105" t="n"/>
      <c r="R103" s="105" t="n"/>
      <c r="S103" s="105" t="n"/>
      <c r="T103" s="105" t="n"/>
      <c r="U103" s="108">
        <f>IF(OR(H103="",I103="",I103=0),"",H103/I103)</f>
        <v/>
      </c>
      <c r="V103" s="109">
        <f>IF(OR(B103="",C103="",L103=""),"",MAX(0,C103-B103))</f>
        <v/>
      </c>
      <c r="W103" s="110">
        <f>IF(OR(L103="",U103=""),"",IF(E103="Short",(I103-L103)*U103,(L103-I103)*U103))</f>
        <v/>
      </c>
      <c r="X103" s="110">
        <f>IF(W103="","",W103-IF(M103="",0,M103))</f>
        <v/>
      </c>
      <c r="Y103" s="111">
        <f>IF(OR(X103="",H103="",H103=0),"",X103/H103)</f>
        <v/>
      </c>
      <c r="Z103" s="112">
        <f>IF(OR(I103="",J103="",U103=""),"",ABS(I103-J103)*U103)</f>
        <v/>
      </c>
      <c r="AA103" s="113">
        <f>IF(OR(X103="",Z103="",Z103=0),"",X103/Z103)</f>
        <v/>
      </c>
      <c r="AB103" s="114">
        <f>IF(OR(I103="",J103="",K103="",I103=J103),"",ABS(K103-I103)/ABS(I103-J103))</f>
        <v/>
      </c>
      <c r="AC103" s="51">
        <f>IF(OR(B103="",D103="",H103="",I103=""),"",IF(L103="","Ouvert",IF(X103&gt;0,"Gagné",IF(X103&lt;0,"Perdu","Neutre"))))</f>
        <v/>
      </c>
      <c r="AD103" s="115">
        <f>IF(X103="","",IF(C103="",B103,C103))</f>
        <v/>
      </c>
      <c r="AE103" s="109">
        <f>IF(B103="","",WEEKDAY(B103,2))</f>
        <v/>
      </c>
      <c r="AF103" s="112">
        <f>IF(X103="","",'Paramètres'!$C$9+SUM($X$6:X103))</f>
        <v/>
      </c>
      <c r="AG103" s="112">
        <f>IF(AF103="","",MAX('Paramètres'!$C$9,MAX($AF$6:AF103)))</f>
        <v/>
      </c>
      <c r="AH103" s="116">
        <f>IF(AF103="","",AF103/AG103-1)</f>
        <v/>
      </c>
      <c r="AI103" s="109">
        <f>IF(X103="","",IF(X103&gt;0,IF(N(AI102)&gt;0,N(AI102)+1,1),IF(X103&lt;0,IF(N(AI102)&lt;0,N(AI102)-1,-1),0)))</f>
        <v/>
      </c>
      <c r="AJ103" s="116">
        <f>IF(Z103="","",IFERROR(Z103/('Paramètres'!$C$9+SUM($X$5:X102)),""))</f>
        <v/>
      </c>
      <c r="AK103" s="109">
        <f>IF(AC103="Ouvert",COUNTIF($AC$6:AC103,"Ouvert"),"")</f>
        <v/>
      </c>
    </row>
    <row r="104" ht="19" customHeight="1">
      <c r="A104" s="104">
        <f>IF(B104="","",ROW()-5)</f>
        <v/>
      </c>
      <c r="B104" s="61" t="n"/>
      <c r="C104" s="61" t="n"/>
      <c r="D104" s="105" t="n"/>
      <c r="E104" s="49" t="n"/>
      <c r="F104" s="105" t="n"/>
      <c r="G104" s="49" t="n"/>
      <c r="H104" s="106" t="n"/>
      <c r="I104" s="107" t="n"/>
      <c r="J104" s="107" t="n"/>
      <c r="K104" s="107" t="n"/>
      <c r="L104" s="107" t="n"/>
      <c r="M104" s="106" t="n"/>
      <c r="N104" s="62" t="n"/>
      <c r="O104" s="49" t="n"/>
      <c r="P104" s="49" t="n"/>
      <c r="Q104" s="105" t="n"/>
      <c r="R104" s="105" t="n"/>
      <c r="S104" s="105" t="n"/>
      <c r="T104" s="105" t="n"/>
      <c r="U104" s="108">
        <f>IF(OR(H104="",I104="",I104=0),"",H104/I104)</f>
        <v/>
      </c>
      <c r="V104" s="109">
        <f>IF(OR(B104="",C104="",L104=""),"",MAX(0,C104-B104))</f>
        <v/>
      </c>
      <c r="W104" s="110">
        <f>IF(OR(L104="",U104=""),"",IF(E104="Short",(I104-L104)*U104,(L104-I104)*U104))</f>
        <v/>
      </c>
      <c r="X104" s="110">
        <f>IF(W104="","",W104-IF(M104="",0,M104))</f>
        <v/>
      </c>
      <c r="Y104" s="111">
        <f>IF(OR(X104="",H104="",H104=0),"",X104/H104)</f>
        <v/>
      </c>
      <c r="Z104" s="112">
        <f>IF(OR(I104="",J104="",U104=""),"",ABS(I104-J104)*U104)</f>
        <v/>
      </c>
      <c r="AA104" s="113">
        <f>IF(OR(X104="",Z104="",Z104=0),"",X104/Z104)</f>
        <v/>
      </c>
      <c r="AB104" s="114">
        <f>IF(OR(I104="",J104="",K104="",I104=J104),"",ABS(K104-I104)/ABS(I104-J104))</f>
        <v/>
      </c>
      <c r="AC104" s="51">
        <f>IF(OR(B104="",D104="",H104="",I104=""),"",IF(L104="","Ouvert",IF(X104&gt;0,"Gagné",IF(X104&lt;0,"Perdu","Neutre"))))</f>
        <v/>
      </c>
      <c r="AD104" s="115">
        <f>IF(X104="","",IF(C104="",B104,C104))</f>
        <v/>
      </c>
      <c r="AE104" s="109">
        <f>IF(B104="","",WEEKDAY(B104,2))</f>
        <v/>
      </c>
      <c r="AF104" s="112">
        <f>IF(X104="","",'Paramètres'!$C$9+SUM($X$6:X104))</f>
        <v/>
      </c>
      <c r="AG104" s="112">
        <f>IF(AF104="","",MAX('Paramètres'!$C$9,MAX($AF$6:AF104)))</f>
        <v/>
      </c>
      <c r="AH104" s="116">
        <f>IF(AF104="","",AF104/AG104-1)</f>
        <v/>
      </c>
      <c r="AI104" s="109">
        <f>IF(X104="","",IF(X104&gt;0,IF(N(AI103)&gt;0,N(AI103)+1,1),IF(X104&lt;0,IF(N(AI103)&lt;0,N(AI103)-1,-1),0)))</f>
        <v/>
      </c>
      <c r="AJ104" s="116">
        <f>IF(Z104="","",IFERROR(Z104/('Paramètres'!$C$9+SUM($X$5:X103)),""))</f>
        <v/>
      </c>
      <c r="AK104" s="109">
        <f>IF(AC104="Ouvert",COUNTIF($AC$6:AC104,"Ouvert"),"")</f>
        <v/>
      </c>
    </row>
    <row r="105" ht="19" customHeight="1">
      <c r="A105" s="104">
        <f>IF(B105="","",ROW()-5)</f>
        <v/>
      </c>
      <c r="B105" s="61" t="n"/>
      <c r="C105" s="61" t="n"/>
      <c r="D105" s="105" t="n"/>
      <c r="E105" s="49" t="n"/>
      <c r="F105" s="105" t="n"/>
      <c r="G105" s="49" t="n"/>
      <c r="H105" s="106" t="n"/>
      <c r="I105" s="107" t="n"/>
      <c r="J105" s="107" t="n"/>
      <c r="K105" s="107" t="n"/>
      <c r="L105" s="107" t="n"/>
      <c r="M105" s="106" t="n"/>
      <c r="N105" s="62" t="n"/>
      <c r="O105" s="49" t="n"/>
      <c r="P105" s="49" t="n"/>
      <c r="Q105" s="105" t="n"/>
      <c r="R105" s="105" t="n"/>
      <c r="S105" s="105" t="n"/>
      <c r="T105" s="105" t="n"/>
      <c r="U105" s="108">
        <f>IF(OR(H105="",I105="",I105=0),"",H105/I105)</f>
        <v/>
      </c>
      <c r="V105" s="109">
        <f>IF(OR(B105="",C105="",L105=""),"",MAX(0,C105-B105))</f>
        <v/>
      </c>
      <c r="W105" s="110">
        <f>IF(OR(L105="",U105=""),"",IF(E105="Short",(I105-L105)*U105,(L105-I105)*U105))</f>
        <v/>
      </c>
      <c r="X105" s="110">
        <f>IF(W105="","",W105-IF(M105="",0,M105))</f>
        <v/>
      </c>
      <c r="Y105" s="111">
        <f>IF(OR(X105="",H105="",H105=0),"",X105/H105)</f>
        <v/>
      </c>
      <c r="Z105" s="112">
        <f>IF(OR(I105="",J105="",U105=""),"",ABS(I105-J105)*U105)</f>
        <v/>
      </c>
      <c r="AA105" s="113">
        <f>IF(OR(X105="",Z105="",Z105=0),"",X105/Z105)</f>
        <v/>
      </c>
      <c r="AB105" s="114">
        <f>IF(OR(I105="",J105="",K105="",I105=J105),"",ABS(K105-I105)/ABS(I105-J105))</f>
        <v/>
      </c>
      <c r="AC105" s="51">
        <f>IF(OR(B105="",D105="",H105="",I105=""),"",IF(L105="","Ouvert",IF(X105&gt;0,"Gagné",IF(X105&lt;0,"Perdu","Neutre"))))</f>
        <v/>
      </c>
      <c r="AD105" s="115">
        <f>IF(X105="","",IF(C105="",B105,C105))</f>
        <v/>
      </c>
      <c r="AE105" s="109">
        <f>IF(B105="","",WEEKDAY(B105,2))</f>
        <v/>
      </c>
      <c r="AF105" s="112">
        <f>IF(X105="","",'Paramètres'!$C$9+SUM($X$6:X105))</f>
        <v/>
      </c>
      <c r="AG105" s="112">
        <f>IF(AF105="","",MAX('Paramètres'!$C$9,MAX($AF$6:AF105)))</f>
        <v/>
      </c>
      <c r="AH105" s="116">
        <f>IF(AF105="","",AF105/AG105-1)</f>
        <v/>
      </c>
      <c r="AI105" s="109">
        <f>IF(X105="","",IF(X105&gt;0,IF(N(AI104)&gt;0,N(AI104)+1,1),IF(X105&lt;0,IF(N(AI104)&lt;0,N(AI104)-1,-1),0)))</f>
        <v/>
      </c>
      <c r="AJ105" s="116">
        <f>IF(Z105="","",IFERROR(Z105/('Paramètres'!$C$9+SUM($X$5:X104)),""))</f>
        <v/>
      </c>
      <c r="AK105" s="109">
        <f>IF(AC105="Ouvert",COUNTIF($AC$6:AC105,"Ouvert"),"")</f>
        <v/>
      </c>
    </row>
    <row r="106" ht="19" customHeight="1">
      <c r="A106" s="104">
        <f>IF(B106="","",ROW()-5)</f>
        <v/>
      </c>
      <c r="B106" s="61" t="n"/>
      <c r="C106" s="61" t="n"/>
      <c r="D106" s="105" t="n"/>
      <c r="E106" s="49" t="n"/>
      <c r="F106" s="105" t="n"/>
      <c r="G106" s="49" t="n"/>
      <c r="H106" s="106" t="n"/>
      <c r="I106" s="107" t="n"/>
      <c r="J106" s="107" t="n"/>
      <c r="K106" s="107" t="n"/>
      <c r="L106" s="107" t="n"/>
      <c r="M106" s="106" t="n"/>
      <c r="N106" s="62" t="n"/>
      <c r="O106" s="49" t="n"/>
      <c r="P106" s="49" t="n"/>
      <c r="Q106" s="105" t="n"/>
      <c r="R106" s="105" t="n"/>
      <c r="S106" s="105" t="n"/>
      <c r="T106" s="105" t="n"/>
      <c r="U106" s="108">
        <f>IF(OR(H106="",I106="",I106=0),"",H106/I106)</f>
        <v/>
      </c>
      <c r="V106" s="109">
        <f>IF(OR(B106="",C106="",L106=""),"",MAX(0,C106-B106))</f>
        <v/>
      </c>
      <c r="W106" s="110">
        <f>IF(OR(L106="",U106=""),"",IF(E106="Short",(I106-L106)*U106,(L106-I106)*U106))</f>
        <v/>
      </c>
      <c r="X106" s="110">
        <f>IF(W106="","",W106-IF(M106="",0,M106))</f>
        <v/>
      </c>
      <c r="Y106" s="111">
        <f>IF(OR(X106="",H106="",H106=0),"",X106/H106)</f>
        <v/>
      </c>
      <c r="Z106" s="112">
        <f>IF(OR(I106="",J106="",U106=""),"",ABS(I106-J106)*U106)</f>
        <v/>
      </c>
      <c r="AA106" s="113">
        <f>IF(OR(X106="",Z106="",Z106=0),"",X106/Z106)</f>
        <v/>
      </c>
      <c r="AB106" s="114">
        <f>IF(OR(I106="",J106="",K106="",I106=J106),"",ABS(K106-I106)/ABS(I106-J106))</f>
        <v/>
      </c>
      <c r="AC106" s="51">
        <f>IF(OR(B106="",D106="",H106="",I106=""),"",IF(L106="","Ouvert",IF(X106&gt;0,"Gagné",IF(X106&lt;0,"Perdu","Neutre"))))</f>
        <v/>
      </c>
      <c r="AD106" s="115">
        <f>IF(X106="","",IF(C106="",B106,C106))</f>
        <v/>
      </c>
      <c r="AE106" s="109">
        <f>IF(B106="","",WEEKDAY(B106,2))</f>
        <v/>
      </c>
      <c r="AF106" s="112">
        <f>IF(X106="","",'Paramètres'!$C$9+SUM($X$6:X106))</f>
        <v/>
      </c>
      <c r="AG106" s="112">
        <f>IF(AF106="","",MAX('Paramètres'!$C$9,MAX($AF$6:AF106)))</f>
        <v/>
      </c>
      <c r="AH106" s="116">
        <f>IF(AF106="","",AF106/AG106-1)</f>
        <v/>
      </c>
      <c r="AI106" s="109">
        <f>IF(X106="","",IF(X106&gt;0,IF(N(AI105)&gt;0,N(AI105)+1,1),IF(X106&lt;0,IF(N(AI105)&lt;0,N(AI105)-1,-1),0)))</f>
        <v/>
      </c>
      <c r="AJ106" s="116">
        <f>IF(Z106="","",IFERROR(Z106/('Paramètres'!$C$9+SUM($X$5:X105)),""))</f>
        <v/>
      </c>
      <c r="AK106" s="109">
        <f>IF(AC106="Ouvert",COUNTIF($AC$6:AC106,"Ouvert"),"")</f>
        <v/>
      </c>
    </row>
    <row r="107" ht="19" customHeight="1">
      <c r="A107" s="104">
        <f>IF(B107="","",ROW()-5)</f>
        <v/>
      </c>
      <c r="B107" s="61" t="n"/>
      <c r="C107" s="61" t="n"/>
      <c r="D107" s="105" t="n"/>
      <c r="E107" s="49" t="n"/>
      <c r="F107" s="105" t="n"/>
      <c r="G107" s="49" t="n"/>
      <c r="H107" s="106" t="n"/>
      <c r="I107" s="107" t="n"/>
      <c r="J107" s="107" t="n"/>
      <c r="K107" s="107" t="n"/>
      <c r="L107" s="107" t="n"/>
      <c r="M107" s="106" t="n"/>
      <c r="N107" s="62" t="n"/>
      <c r="O107" s="49" t="n"/>
      <c r="P107" s="49" t="n"/>
      <c r="Q107" s="105" t="n"/>
      <c r="R107" s="105" t="n"/>
      <c r="S107" s="105" t="n"/>
      <c r="T107" s="105" t="n"/>
      <c r="U107" s="108">
        <f>IF(OR(H107="",I107="",I107=0),"",H107/I107)</f>
        <v/>
      </c>
      <c r="V107" s="109">
        <f>IF(OR(B107="",C107="",L107=""),"",MAX(0,C107-B107))</f>
        <v/>
      </c>
      <c r="W107" s="110">
        <f>IF(OR(L107="",U107=""),"",IF(E107="Short",(I107-L107)*U107,(L107-I107)*U107))</f>
        <v/>
      </c>
      <c r="X107" s="110">
        <f>IF(W107="","",W107-IF(M107="",0,M107))</f>
        <v/>
      </c>
      <c r="Y107" s="111">
        <f>IF(OR(X107="",H107="",H107=0),"",X107/H107)</f>
        <v/>
      </c>
      <c r="Z107" s="112">
        <f>IF(OR(I107="",J107="",U107=""),"",ABS(I107-J107)*U107)</f>
        <v/>
      </c>
      <c r="AA107" s="113">
        <f>IF(OR(X107="",Z107="",Z107=0),"",X107/Z107)</f>
        <v/>
      </c>
      <c r="AB107" s="114">
        <f>IF(OR(I107="",J107="",K107="",I107=J107),"",ABS(K107-I107)/ABS(I107-J107))</f>
        <v/>
      </c>
      <c r="AC107" s="51">
        <f>IF(OR(B107="",D107="",H107="",I107=""),"",IF(L107="","Ouvert",IF(X107&gt;0,"Gagné",IF(X107&lt;0,"Perdu","Neutre"))))</f>
        <v/>
      </c>
      <c r="AD107" s="115">
        <f>IF(X107="","",IF(C107="",B107,C107))</f>
        <v/>
      </c>
      <c r="AE107" s="109">
        <f>IF(B107="","",WEEKDAY(B107,2))</f>
        <v/>
      </c>
      <c r="AF107" s="112">
        <f>IF(X107="","",'Paramètres'!$C$9+SUM($X$6:X107))</f>
        <v/>
      </c>
      <c r="AG107" s="112">
        <f>IF(AF107="","",MAX('Paramètres'!$C$9,MAX($AF$6:AF107)))</f>
        <v/>
      </c>
      <c r="AH107" s="116">
        <f>IF(AF107="","",AF107/AG107-1)</f>
        <v/>
      </c>
      <c r="AI107" s="109">
        <f>IF(X107="","",IF(X107&gt;0,IF(N(AI106)&gt;0,N(AI106)+1,1),IF(X107&lt;0,IF(N(AI106)&lt;0,N(AI106)-1,-1),0)))</f>
        <v/>
      </c>
      <c r="AJ107" s="116">
        <f>IF(Z107="","",IFERROR(Z107/('Paramètres'!$C$9+SUM($X$5:X106)),""))</f>
        <v/>
      </c>
      <c r="AK107" s="109">
        <f>IF(AC107="Ouvert",COUNTIF($AC$6:AC107,"Ouvert"),"")</f>
        <v/>
      </c>
    </row>
    <row r="108" ht="19" customHeight="1">
      <c r="A108" s="104">
        <f>IF(B108="","",ROW()-5)</f>
        <v/>
      </c>
      <c r="B108" s="61" t="n"/>
      <c r="C108" s="61" t="n"/>
      <c r="D108" s="105" t="n"/>
      <c r="E108" s="49" t="n"/>
      <c r="F108" s="105" t="n"/>
      <c r="G108" s="49" t="n"/>
      <c r="H108" s="106" t="n"/>
      <c r="I108" s="107" t="n"/>
      <c r="J108" s="107" t="n"/>
      <c r="K108" s="107" t="n"/>
      <c r="L108" s="107" t="n"/>
      <c r="M108" s="106" t="n"/>
      <c r="N108" s="62" t="n"/>
      <c r="O108" s="49" t="n"/>
      <c r="P108" s="49" t="n"/>
      <c r="Q108" s="105" t="n"/>
      <c r="R108" s="105" t="n"/>
      <c r="S108" s="105" t="n"/>
      <c r="T108" s="105" t="n"/>
      <c r="U108" s="108">
        <f>IF(OR(H108="",I108="",I108=0),"",H108/I108)</f>
        <v/>
      </c>
      <c r="V108" s="109">
        <f>IF(OR(B108="",C108="",L108=""),"",MAX(0,C108-B108))</f>
        <v/>
      </c>
      <c r="W108" s="110">
        <f>IF(OR(L108="",U108=""),"",IF(E108="Short",(I108-L108)*U108,(L108-I108)*U108))</f>
        <v/>
      </c>
      <c r="X108" s="110">
        <f>IF(W108="","",W108-IF(M108="",0,M108))</f>
        <v/>
      </c>
      <c r="Y108" s="111">
        <f>IF(OR(X108="",H108="",H108=0),"",X108/H108)</f>
        <v/>
      </c>
      <c r="Z108" s="112">
        <f>IF(OR(I108="",J108="",U108=""),"",ABS(I108-J108)*U108)</f>
        <v/>
      </c>
      <c r="AA108" s="113">
        <f>IF(OR(X108="",Z108="",Z108=0),"",X108/Z108)</f>
        <v/>
      </c>
      <c r="AB108" s="114">
        <f>IF(OR(I108="",J108="",K108="",I108=J108),"",ABS(K108-I108)/ABS(I108-J108))</f>
        <v/>
      </c>
      <c r="AC108" s="51">
        <f>IF(OR(B108="",D108="",H108="",I108=""),"",IF(L108="","Ouvert",IF(X108&gt;0,"Gagné",IF(X108&lt;0,"Perdu","Neutre"))))</f>
        <v/>
      </c>
      <c r="AD108" s="115">
        <f>IF(X108="","",IF(C108="",B108,C108))</f>
        <v/>
      </c>
      <c r="AE108" s="109">
        <f>IF(B108="","",WEEKDAY(B108,2))</f>
        <v/>
      </c>
      <c r="AF108" s="112">
        <f>IF(X108="","",'Paramètres'!$C$9+SUM($X$6:X108))</f>
        <v/>
      </c>
      <c r="AG108" s="112">
        <f>IF(AF108="","",MAX('Paramètres'!$C$9,MAX($AF$6:AF108)))</f>
        <v/>
      </c>
      <c r="AH108" s="116">
        <f>IF(AF108="","",AF108/AG108-1)</f>
        <v/>
      </c>
      <c r="AI108" s="109">
        <f>IF(X108="","",IF(X108&gt;0,IF(N(AI107)&gt;0,N(AI107)+1,1),IF(X108&lt;0,IF(N(AI107)&lt;0,N(AI107)-1,-1),0)))</f>
        <v/>
      </c>
      <c r="AJ108" s="116">
        <f>IF(Z108="","",IFERROR(Z108/('Paramètres'!$C$9+SUM($X$5:X107)),""))</f>
        <v/>
      </c>
      <c r="AK108" s="109">
        <f>IF(AC108="Ouvert",COUNTIF($AC$6:AC108,"Ouvert"),"")</f>
        <v/>
      </c>
    </row>
    <row r="109" ht="19" customHeight="1">
      <c r="A109" s="104">
        <f>IF(B109="","",ROW()-5)</f>
        <v/>
      </c>
      <c r="B109" s="61" t="n"/>
      <c r="C109" s="61" t="n"/>
      <c r="D109" s="105" t="n"/>
      <c r="E109" s="49" t="n"/>
      <c r="F109" s="105" t="n"/>
      <c r="G109" s="49" t="n"/>
      <c r="H109" s="106" t="n"/>
      <c r="I109" s="107" t="n"/>
      <c r="J109" s="107" t="n"/>
      <c r="K109" s="107" t="n"/>
      <c r="L109" s="107" t="n"/>
      <c r="M109" s="106" t="n"/>
      <c r="N109" s="62" t="n"/>
      <c r="O109" s="49" t="n"/>
      <c r="P109" s="49" t="n"/>
      <c r="Q109" s="105" t="n"/>
      <c r="R109" s="105" t="n"/>
      <c r="S109" s="105" t="n"/>
      <c r="T109" s="105" t="n"/>
      <c r="U109" s="108">
        <f>IF(OR(H109="",I109="",I109=0),"",H109/I109)</f>
        <v/>
      </c>
      <c r="V109" s="109">
        <f>IF(OR(B109="",C109="",L109=""),"",MAX(0,C109-B109))</f>
        <v/>
      </c>
      <c r="W109" s="110">
        <f>IF(OR(L109="",U109=""),"",IF(E109="Short",(I109-L109)*U109,(L109-I109)*U109))</f>
        <v/>
      </c>
      <c r="X109" s="110">
        <f>IF(W109="","",W109-IF(M109="",0,M109))</f>
        <v/>
      </c>
      <c r="Y109" s="111">
        <f>IF(OR(X109="",H109="",H109=0),"",X109/H109)</f>
        <v/>
      </c>
      <c r="Z109" s="112">
        <f>IF(OR(I109="",J109="",U109=""),"",ABS(I109-J109)*U109)</f>
        <v/>
      </c>
      <c r="AA109" s="113">
        <f>IF(OR(X109="",Z109="",Z109=0),"",X109/Z109)</f>
        <v/>
      </c>
      <c r="AB109" s="114">
        <f>IF(OR(I109="",J109="",K109="",I109=J109),"",ABS(K109-I109)/ABS(I109-J109))</f>
        <v/>
      </c>
      <c r="AC109" s="51">
        <f>IF(OR(B109="",D109="",H109="",I109=""),"",IF(L109="","Ouvert",IF(X109&gt;0,"Gagné",IF(X109&lt;0,"Perdu","Neutre"))))</f>
        <v/>
      </c>
      <c r="AD109" s="115">
        <f>IF(X109="","",IF(C109="",B109,C109))</f>
        <v/>
      </c>
      <c r="AE109" s="109">
        <f>IF(B109="","",WEEKDAY(B109,2))</f>
        <v/>
      </c>
      <c r="AF109" s="112">
        <f>IF(X109="","",'Paramètres'!$C$9+SUM($X$6:X109))</f>
        <v/>
      </c>
      <c r="AG109" s="112">
        <f>IF(AF109="","",MAX('Paramètres'!$C$9,MAX($AF$6:AF109)))</f>
        <v/>
      </c>
      <c r="AH109" s="116">
        <f>IF(AF109="","",AF109/AG109-1)</f>
        <v/>
      </c>
      <c r="AI109" s="109">
        <f>IF(X109="","",IF(X109&gt;0,IF(N(AI108)&gt;0,N(AI108)+1,1),IF(X109&lt;0,IF(N(AI108)&lt;0,N(AI108)-1,-1),0)))</f>
        <v/>
      </c>
      <c r="AJ109" s="116">
        <f>IF(Z109="","",IFERROR(Z109/('Paramètres'!$C$9+SUM($X$5:X108)),""))</f>
        <v/>
      </c>
      <c r="AK109" s="109">
        <f>IF(AC109="Ouvert",COUNTIF($AC$6:AC109,"Ouvert"),"")</f>
        <v/>
      </c>
    </row>
    <row r="110" ht="19" customHeight="1">
      <c r="A110" s="104">
        <f>IF(B110="","",ROW()-5)</f>
        <v/>
      </c>
      <c r="B110" s="61" t="n"/>
      <c r="C110" s="61" t="n"/>
      <c r="D110" s="105" t="n"/>
      <c r="E110" s="49" t="n"/>
      <c r="F110" s="105" t="n"/>
      <c r="G110" s="49" t="n"/>
      <c r="H110" s="106" t="n"/>
      <c r="I110" s="107" t="n"/>
      <c r="J110" s="107" t="n"/>
      <c r="K110" s="107" t="n"/>
      <c r="L110" s="107" t="n"/>
      <c r="M110" s="106" t="n"/>
      <c r="N110" s="62" t="n"/>
      <c r="O110" s="49" t="n"/>
      <c r="P110" s="49" t="n"/>
      <c r="Q110" s="105" t="n"/>
      <c r="R110" s="105" t="n"/>
      <c r="S110" s="105" t="n"/>
      <c r="T110" s="105" t="n"/>
      <c r="U110" s="108">
        <f>IF(OR(H110="",I110="",I110=0),"",H110/I110)</f>
        <v/>
      </c>
      <c r="V110" s="109">
        <f>IF(OR(B110="",C110="",L110=""),"",MAX(0,C110-B110))</f>
        <v/>
      </c>
      <c r="W110" s="110">
        <f>IF(OR(L110="",U110=""),"",IF(E110="Short",(I110-L110)*U110,(L110-I110)*U110))</f>
        <v/>
      </c>
      <c r="X110" s="110">
        <f>IF(W110="","",W110-IF(M110="",0,M110))</f>
        <v/>
      </c>
      <c r="Y110" s="111">
        <f>IF(OR(X110="",H110="",H110=0),"",X110/H110)</f>
        <v/>
      </c>
      <c r="Z110" s="112">
        <f>IF(OR(I110="",J110="",U110=""),"",ABS(I110-J110)*U110)</f>
        <v/>
      </c>
      <c r="AA110" s="113">
        <f>IF(OR(X110="",Z110="",Z110=0),"",X110/Z110)</f>
        <v/>
      </c>
      <c r="AB110" s="114">
        <f>IF(OR(I110="",J110="",K110="",I110=J110),"",ABS(K110-I110)/ABS(I110-J110))</f>
        <v/>
      </c>
      <c r="AC110" s="51">
        <f>IF(OR(B110="",D110="",H110="",I110=""),"",IF(L110="","Ouvert",IF(X110&gt;0,"Gagné",IF(X110&lt;0,"Perdu","Neutre"))))</f>
        <v/>
      </c>
      <c r="AD110" s="115">
        <f>IF(X110="","",IF(C110="",B110,C110))</f>
        <v/>
      </c>
      <c r="AE110" s="109">
        <f>IF(B110="","",WEEKDAY(B110,2))</f>
        <v/>
      </c>
      <c r="AF110" s="112">
        <f>IF(X110="","",'Paramètres'!$C$9+SUM($X$6:X110))</f>
        <v/>
      </c>
      <c r="AG110" s="112">
        <f>IF(AF110="","",MAX('Paramètres'!$C$9,MAX($AF$6:AF110)))</f>
        <v/>
      </c>
      <c r="AH110" s="116">
        <f>IF(AF110="","",AF110/AG110-1)</f>
        <v/>
      </c>
      <c r="AI110" s="109">
        <f>IF(X110="","",IF(X110&gt;0,IF(N(AI109)&gt;0,N(AI109)+1,1),IF(X110&lt;0,IF(N(AI109)&lt;0,N(AI109)-1,-1),0)))</f>
        <v/>
      </c>
      <c r="AJ110" s="116">
        <f>IF(Z110="","",IFERROR(Z110/('Paramètres'!$C$9+SUM($X$5:X109)),""))</f>
        <v/>
      </c>
      <c r="AK110" s="109">
        <f>IF(AC110="Ouvert",COUNTIF($AC$6:AC110,"Ouvert"),"")</f>
        <v/>
      </c>
    </row>
    <row r="111" ht="19" customHeight="1">
      <c r="A111" s="104">
        <f>IF(B111="","",ROW()-5)</f>
        <v/>
      </c>
      <c r="B111" s="61" t="n"/>
      <c r="C111" s="61" t="n"/>
      <c r="D111" s="105" t="n"/>
      <c r="E111" s="49" t="n"/>
      <c r="F111" s="105" t="n"/>
      <c r="G111" s="49" t="n"/>
      <c r="H111" s="106" t="n"/>
      <c r="I111" s="107" t="n"/>
      <c r="J111" s="107" t="n"/>
      <c r="K111" s="107" t="n"/>
      <c r="L111" s="107" t="n"/>
      <c r="M111" s="106" t="n"/>
      <c r="N111" s="62" t="n"/>
      <c r="O111" s="49" t="n"/>
      <c r="P111" s="49" t="n"/>
      <c r="Q111" s="105" t="n"/>
      <c r="R111" s="105" t="n"/>
      <c r="S111" s="105" t="n"/>
      <c r="T111" s="105" t="n"/>
      <c r="U111" s="108">
        <f>IF(OR(H111="",I111="",I111=0),"",H111/I111)</f>
        <v/>
      </c>
      <c r="V111" s="109">
        <f>IF(OR(B111="",C111="",L111=""),"",MAX(0,C111-B111))</f>
        <v/>
      </c>
      <c r="W111" s="110">
        <f>IF(OR(L111="",U111=""),"",IF(E111="Short",(I111-L111)*U111,(L111-I111)*U111))</f>
        <v/>
      </c>
      <c r="X111" s="110">
        <f>IF(W111="","",W111-IF(M111="",0,M111))</f>
        <v/>
      </c>
      <c r="Y111" s="111">
        <f>IF(OR(X111="",H111="",H111=0),"",X111/H111)</f>
        <v/>
      </c>
      <c r="Z111" s="112">
        <f>IF(OR(I111="",J111="",U111=""),"",ABS(I111-J111)*U111)</f>
        <v/>
      </c>
      <c r="AA111" s="113">
        <f>IF(OR(X111="",Z111="",Z111=0),"",X111/Z111)</f>
        <v/>
      </c>
      <c r="AB111" s="114">
        <f>IF(OR(I111="",J111="",K111="",I111=J111),"",ABS(K111-I111)/ABS(I111-J111))</f>
        <v/>
      </c>
      <c r="AC111" s="51">
        <f>IF(OR(B111="",D111="",H111="",I111=""),"",IF(L111="","Ouvert",IF(X111&gt;0,"Gagné",IF(X111&lt;0,"Perdu","Neutre"))))</f>
        <v/>
      </c>
      <c r="AD111" s="115">
        <f>IF(X111="","",IF(C111="",B111,C111))</f>
        <v/>
      </c>
      <c r="AE111" s="109">
        <f>IF(B111="","",WEEKDAY(B111,2))</f>
        <v/>
      </c>
      <c r="AF111" s="112">
        <f>IF(X111="","",'Paramètres'!$C$9+SUM($X$6:X111))</f>
        <v/>
      </c>
      <c r="AG111" s="112">
        <f>IF(AF111="","",MAX('Paramètres'!$C$9,MAX($AF$6:AF111)))</f>
        <v/>
      </c>
      <c r="AH111" s="116">
        <f>IF(AF111="","",AF111/AG111-1)</f>
        <v/>
      </c>
      <c r="AI111" s="109">
        <f>IF(X111="","",IF(X111&gt;0,IF(N(AI110)&gt;0,N(AI110)+1,1),IF(X111&lt;0,IF(N(AI110)&lt;0,N(AI110)-1,-1),0)))</f>
        <v/>
      </c>
      <c r="AJ111" s="116">
        <f>IF(Z111="","",IFERROR(Z111/('Paramètres'!$C$9+SUM($X$5:X110)),""))</f>
        <v/>
      </c>
      <c r="AK111" s="109">
        <f>IF(AC111="Ouvert",COUNTIF($AC$6:AC111,"Ouvert"),"")</f>
        <v/>
      </c>
    </row>
    <row r="112" ht="19" customHeight="1">
      <c r="A112" s="104">
        <f>IF(B112="","",ROW()-5)</f>
        <v/>
      </c>
      <c r="B112" s="61" t="n"/>
      <c r="C112" s="61" t="n"/>
      <c r="D112" s="105" t="n"/>
      <c r="E112" s="49" t="n"/>
      <c r="F112" s="105" t="n"/>
      <c r="G112" s="49" t="n"/>
      <c r="H112" s="106" t="n"/>
      <c r="I112" s="107" t="n"/>
      <c r="J112" s="107" t="n"/>
      <c r="K112" s="107" t="n"/>
      <c r="L112" s="107" t="n"/>
      <c r="M112" s="106" t="n"/>
      <c r="N112" s="62" t="n"/>
      <c r="O112" s="49" t="n"/>
      <c r="P112" s="49" t="n"/>
      <c r="Q112" s="105" t="n"/>
      <c r="R112" s="105" t="n"/>
      <c r="S112" s="105" t="n"/>
      <c r="T112" s="105" t="n"/>
      <c r="U112" s="108">
        <f>IF(OR(H112="",I112="",I112=0),"",H112/I112)</f>
        <v/>
      </c>
      <c r="V112" s="109">
        <f>IF(OR(B112="",C112="",L112=""),"",MAX(0,C112-B112))</f>
        <v/>
      </c>
      <c r="W112" s="110">
        <f>IF(OR(L112="",U112=""),"",IF(E112="Short",(I112-L112)*U112,(L112-I112)*U112))</f>
        <v/>
      </c>
      <c r="X112" s="110">
        <f>IF(W112="","",W112-IF(M112="",0,M112))</f>
        <v/>
      </c>
      <c r="Y112" s="111">
        <f>IF(OR(X112="",H112="",H112=0),"",X112/H112)</f>
        <v/>
      </c>
      <c r="Z112" s="112">
        <f>IF(OR(I112="",J112="",U112=""),"",ABS(I112-J112)*U112)</f>
        <v/>
      </c>
      <c r="AA112" s="113">
        <f>IF(OR(X112="",Z112="",Z112=0),"",X112/Z112)</f>
        <v/>
      </c>
      <c r="AB112" s="114">
        <f>IF(OR(I112="",J112="",K112="",I112=J112),"",ABS(K112-I112)/ABS(I112-J112))</f>
        <v/>
      </c>
      <c r="AC112" s="51">
        <f>IF(OR(B112="",D112="",H112="",I112=""),"",IF(L112="","Ouvert",IF(X112&gt;0,"Gagné",IF(X112&lt;0,"Perdu","Neutre"))))</f>
        <v/>
      </c>
      <c r="AD112" s="115">
        <f>IF(X112="","",IF(C112="",B112,C112))</f>
        <v/>
      </c>
      <c r="AE112" s="109">
        <f>IF(B112="","",WEEKDAY(B112,2))</f>
        <v/>
      </c>
      <c r="AF112" s="112">
        <f>IF(X112="","",'Paramètres'!$C$9+SUM($X$6:X112))</f>
        <v/>
      </c>
      <c r="AG112" s="112">
        <f>IF(AF112="","",MAX('Paramètres'!$C$9,MAX($AF$6:AF112)))</f>
        <v/>
      </c>
      <c r="AH112" s="116">
        <f>IF(AF112="","",AF112/AG112-1)</f>
        <v/>
      </c>
      <c r="AI112" s="109">
        <f>IF(X112="","",IF(X112&gt;0,IF(N(AI111)&gt;0,N(AI111)+1,1),IF(X112&lt;0,IF(N(AI111)&lt;0,N(AI111)-1,-1),0)))</f>
        <v/>
      </c>
      <c r="AJ112" s="116">
        <f>IF(Z112="","",IFERROR(Z112/('Paramètres'!$C$9+SUM($X$5:X111)),""))</f>
        <v/>
      </c>
      <c r="AK112" s="109">
        <f>IF(AC112="Ouvert",COUNTIF($AC$6:AC112,"Ouvert"),"")</f>
        <v/>
      </c>
    </row>
    <row r="113" ht="19" customHeight="1">
      <c r="A113" s="104">
        <f>IF(B113="","",ROW()-5)</f>
        <v/>
      </c>
      <c r="B113" s="61" t="n"/>
      <c r="C113" s="61" t="n"/>
      <c r="D113" s="105" t="n"/>
      <c r="E113" s="49" t="n"/>
      <c r="F113" s="105" t="n"/>
      <c r="G113" s="49" t="n"/>
      <c r="H113" s="106" t="n"/>
      <c r="I113" s="107" t="n"/>
      <c r="J113" s="107" t="n"/>
      <c r="K113" s="107" t="n"/>
      <c r="L113" s="107" t="n"/>
      <c r="M113" s="106" t="n"/>
      <c r="N113" s="62" t="n"/>
      <c r="O113" s="49" t="n"/>
      <c r="P113" s="49" t="n"/>
      <c r="Q113" s="105" t="n"/>
      <c r="R113" s="105" t="n"/>
      <c r="S113" s="105" t="n"/>
      <c r="T113" s="105" t="n"/>
      <c r="U113" s="108">
        <f>IF(OR(H113="",I113="",I113=0),"",H113/I113)</f>
        <v/>
      </c>
      <c r="V113" s="109">
        <f>IF(OR(B113="",C113="",L113=""),"",MAX(0,C113-B113))</f>
        <v/>
      </c>
      <c r="W113" s="110">
        <f>IF(OR(L113="",U113=""),"",IF(E113="Short",(I113-L113)*U113,(L113-I113)*U113))</f>
        <v/>
      </c>
      <c r="X113" s="110">
        <f>IF(W113="","",W113-IF(M113="",0,M113))</f>
        <v/>
      </c>
      <c r="Y113" s="111">
        <f>IF(OR(X113="",H113="",H113=0),"",X113/H113)</f>
        <v/>
      </c>
      <c r="Z113" s="112">
        <f>IF(OR(I113="",J113="",U113=""),"",ABS(I113-J113)*U113)</f>
        <v/>
      </c>
      <c r="AA113" s="113">
        <f>IF(OR(X113="",Z113="",Z113=0),"",X113/Z113)</f>
        <v/>
      </c>
      <c r="AB113" s="114">
        <f>IF(OR(I113="",J113="",K113="",I113=J113),"",ABS(K113-I113)/ABS(I113-J113))</f>
        <v/>
      </c>
      <c r="AC113" s="51">
        <f>IF(OR(B113="",D113="",H113="",I113=""),"",IF(L113="","Ouvert",IF(X113&gt;0,"Gagné",IF(X113&lt;0,"Perdu","Neutre"))))</f>
        <v/>
      </c>
      <c r="AD113" s="115">
        <f>IF(X113="","",IF(C113="",B113,C113))</f>
        <v/>
      </c>
      <c r="AE113" s="109">
        <f>IF(B113="","",WEEKDAY(B113,2))</f>
        <v/>
      </c>
      <c r="AF113" s="112">
        <f>IF(X113="","",'Paramètres'!$C$9+SUM($X$6:X113))</f>
        <v/>
      </c>
      <c r="AG113" s="112">
        <f>IF(AF113="","",MAX('Paramètres'!$C$9,MAX($AF$6:AF113)))</f>
        <v/>
      </c>
      <c r="AH113" s="116">
        <f>IF(AF113="","",AF113/AG113-1)</f>
        <v/>
      </c>
      <c r="AI113" s="109">
        <f>IF(X113="","",IF(X113&gt;0,IF(N(AI112)&gt;0,N(AI112)+1,1),IF(X113&lt;0,IF(N(AI112)&lt;0,N(AI112)-1,-1),0)))</f>
        <v/>
      </c>
      <c r="AJ113" s="116">
        <f>IF(Z113="","",IFERROR(Z113/('Paramètres'!$C$9+SUM($X$5:X112)),""))</f>
        <v/>
      </c>
      <c r="AK113" s="109">
        <f>IF(AC113="Ouvert",COUNTIF($AC$6:AC113,"Ouvert"),"")</f>
        <v/>
      </c>
    </row>
    <row r="114" ht="19" customHeight="1">
      <c r="A114" s="104">
        <f>IF(B114="","",ROW()-5)</f>
        <v/>
      </c>
      <c r="B114" s="61" t="n"/>
      <c r="C114" s="61" t="n"/>
      <c r="D114" s="105" t="n"/>
      <c r="E114" s="49" t="n"/>
      <c r="F114" s="105" t="n"/>
      <c r="G114" s="49" t="n"/>
      <c r="H114" s="106" t="n"/>
      <c r="I114" s="107" t="n"/>
      <c r="J114" s="107" t="n"/>
      <c r="K114" s="107" t="n"/>
      <c r="L114" s="107" t="n"/>
      <c r="M114" s="106" t="n"/>
      <c r="N114" s="62" t="n"/>
      <c r="O114" s="49" t="n"/>
      <c r="P114" s="49" t="n"/>
      <c r="Q114" s="105" t="n"/>
      <c r="R114" s="105" t="n"/>
      <c r="S114" s="105" t="n"/>
      <c r="T114" s="105" t="n"/>
      <c r="U114" s="108">
        <f>IF(OR(H114="",I114="",I114=0),"",H114/I114)</f>
        <v/>
      </c>
      <c r="V114" s="109">
        <f>IF(OR(B114="",C114="",L114=""),"",MAX(0,C114-B114))</f>
        <v/>
      </c>
      <c r="W114" s="110">
        <f>IF(OR(L114="",U114=""),"",IF(E114="Short",(I114-L114)*U114,(L114-I114)*U114))</f>
        <v/>
      </c>
      <c r="X114" s="110">
        <f>IF(W114="","",W114-IF(M114="",0,M114))</f>
        <v/>
      </c>
      <c r="Y114" s="111">
        <f>IF(OR(X114="",H114="",H114=0),"",X114/H114)</f>
        <v/>
      </c>
      <c r="Z114" s="112">
        <f>IF(OR(I114="",J114="",U114=""),"",ABS(I114-J114)*U114)</f>
        <v/>
      </c>
      <c r="AA114" s="113">
        <f>IF(OR(X114="",Z114="",Z114=0),"",X114/Z114)</f>
        <v/>
      </c>
      <c r="AB114" s="114">
        <f>IF(OR(I114="",J114="",K114="",I114=J114),"",ABS(K114-I114)/ABS(I114-J114))</f>
        <v/>
      </c>
      <c r="AC114" s="51">
        <f>IF(OR(B114="",D114="",H114="",I114=""),"",IF(L114="","Ouvert",IF(X114&gt;0,"Gagné",IF(X114&lt;0,"Perdu","Neutre"))))</f>
        <v/>
      </c>
      <c r="AD114" s="115">
        <f>IF(X114="","",IF(C114="",B114,C114))</f>
        <v/>
      </c>
      <c r="AE114" s="109">
        <f>IF(B114="","",WEEKDAY(B114,2))</f>
        <v/>
      </c>
      <c r="AF114" s="112">
        <f>IF(X114="","",'Paramètres'!$C$9+SUM($X$6:X114))</f>
        <v/>
      </c>
      <c r="AG114" s="112">
        <f>IF(AF114="","",MAX('Paramètres'!$C$9,MAX($AF$6:AF114)))</f>
        <v/>
      </c>
      <c r="AH114" s="116">
        <f>IF(AF114="","",AF114/AG114-1)</f>
        <v/>
      </c>
      <c r="AI114" s="109">
        <f>IF(X114="","",IF(X114&gt;0,IF(N(AI113)&gt;0,N(AI113)+1,1),IF(X114&lt;0,IF(N(AI113)&lt;0,N(AI113)-1,-1),0)))</f>
        <v/>
      </c>
      <c r="AJ114" s="116">
        <f>IF(Z114="","",IFERROR(Z114/('Paramètres'!$C$9+SUM($X$5:X113)),""))</f>
        <v/>
      </c>
      <c r="AK114" s="109">
        <f>IF(AC114="Ouvert",COUNTIF($AC$6:AC114,"Ouvert"),"")</f>
        <v/>
      </c>
    </row>
    <row r="115" ht="19" customHeight="1">
      <c r="A115" s="104">
        <f>IF(B115="","",ROW()-5)</f>
        <v/>
      </c>
      <c r="B115" s="61" t="n"/>
      <c r="C115" s="61" t="n"/>
      <c r="D115" s="105" t="n"/>
      <c r="E115" s="49" t="n"/>
      <c r="F115" s="105" t="n"/>
      <c r="G115" s="49" t="n"/>
      <c r="H115" s="106" t="n"/>
      <c r="I115" s="107" t="n"/>
      <c r="J115" s="107" t="n"/>
      <c r="K115" s="107" t="n"/>
      <c r="L115" s="107" t="n"/>
      <c r="M115" s="106" t="n"/>
      <c r="N115" s="62" t="n"/>
      <c r="O115" s="49" t="n"/>
      <c r="P115" s="49" t="n"/>
      <c r="Q115" s="105" t="n"/>
      <c r="R115" s="105" t="n"/>
      <c r="S115" s="105" t="n"/>
      <c r="T115" s="105" t="n"/>
      <c r="U115" s="108">
        <f>IF(OR(H115="",I115="",I115=0),"",H115/I115)</f>
        <v/>
      </c>
      <c r="V115" s="109">
        <f>IF(OR(B115="",C115="",L115=""),"",MAX(0,C115-B115))</f>
        <v/>
      </c>
      <c r="W115" s="110">
        <f>IF(OR(L115="",U115=""),"",IF(E115="Short",(I115-L115)*U115,(L115-I115)*U115))</f>
        <v/>
      </c>
      <c r="X115" s="110">
        <f>IF(W115="","",W115-IF(M115="",0,M115))</f>
        <v/>
      </c>
      <c r="Y115" s="111">
        <f>IF(OR(X115="",H115="",H115=0),"",X115/H115)</f>
        <v/>
      </c>
      <c r="Z115" s="112">
        <f>IF(OR(I115="",J115="",U115=""),"",ABS(I115-J115)*U115)</f>
        <v/>
      </c>
      <c r="AA115" s="113">
        <f>IF(OR(X115="",Z115="",Z115=0),"",X115/Z115)</f>
        <v/>
      </c>
      <c r="AB115" s="114">
        <f>IF(OR(I115="",J115="",K115="",I115=J115),"",ABS(K115-I115)/ABS(I115-J115))</f>
        <v/>
      </c>
      <c r="AC115" s="51">
        <f>IF(OR(B115="",D115="",H115="",I115=""),"",IF(L115="","Ouvert",IF(X115&gt;0,"Gagné",IF(X115&lt;0,"Perdu","Neutre"))))</f>
        <v/>
      </c>
      <c r="AD115" s="115">
        <f>IF(X115="","",IF(C115="",B115,C115))</f>
        <v/>
      </c>
      <c r="AE115" s="109">
        <f>IF(B115="","",WEEKDAY(B115,2))</f>
        <v/>
      </c>
      <c r="AF115" s="112">
        <f>IF(X115="","",'Paramètres'!$C$9+SUM($X$6:X115))</f>
        <v/>
      </c>
      <c r="AG115" s="112">
        <f>IF(AF115="","",MAX('Paramètres'!$C$9,MAX($AF$6:AF115)))</f>
        <v/>
      </c>
      <c r="AH115" s="116">
        <f>IF(AF115="","",AF115/AG115-1)</f>
        <v/>
      </c>
      <c r="AI115" s="109">
        <f>IF(X115="","",IF(X115&gt;0,IF(N(AI114)&gt;0,N(AI114)+1,1),IF(X115&lt;0,IF(N(AI114)&lt;0,N(AI114)-1,-1),0)))</f>
        <v/>
      </c>
      <c r="AJ115" s="116">
        <f>IF(Z115="","",IFERROR(Z115/('Paramètres'!$C$9+SUM($X$5:X114)),""))</f>
        <v/>
      </c>
      <c r="AK115" s="109">
        <f>IF(AC115="Ouvert",COUNTIF($AC$6:AC115,"Ouvert"),"")</f>
        <v/>
      </c>
    </row>
    <row r="116" ht="19" customHeight="1">
      <c r="A116" s="104">
        <f>IF(B116="","",ROW()-5)</f>
        <v/>
      </c>
      <c r="B116" s="61" t="n"/>
      <c r="C116" s="61" t="n"/>
      <c r="D116" s="105" t="n"/>
      <c r="E116" s="49" t="n"/>
      <c r="F116" s="105" t="n"/>
      <c r="G116" s="49" t="n"/>
      <c r="H116" s="106" t="n"/>
      <c r="I116" s="107" t="n"/>
      <c r="J116" s="107" t="n"/>
      <c r="K116" s="107" t="n"/>
      <c r="L116" s="107" t="n"/>
      <c r="M116" s="106" t="n"/>
      <c r="N116" s="62" t="n"/>
      <c r="O116" s="49" t="n"/>
      <c r="P116" s="49" t="n"/>
      <c r="Q116" s="105" t="n"/>
      <c r="R116" s="105" t="n"/>
      <c r="S116" s="105" t="n"/>
      <c r="T116" s="105" t="n"/>
      <c r="U116" s="108">
        <f>IF(OR(H116="",I116="",I116=0),"",H116/I116)</f>
        <v/>
      </c>
      <c r="V116" s="109">
        <f>IF(OR(B116="",C116="",L116=""),"",MAX(0,C116-B116))</f>
        <v/>
      </c>
      <c r="W116" s="110">
        <f>IF(OR(L116="",U116=""),"",IF(E116="Short",(I116-L116)*U116,(L116-I116)*U116))</f>
        <v/>
      </c>
      <c r="X116" s="110">
        <f>IF(W116="","",W116-IF(M116="",0,M116))</f>
        <v/>
      </c>
      <c r="Y116" s="111">
        <f>IF(OR(X116="",H116="",H116=0),"",X116/H116)</f>
        <v/>
      </c>
      <c r="Z116" s="112">
        <f>IF(OR(I116="",J116="",U116=""),"",ABS(I116-J116)*U116)</f>
        <v/>
      </c>
      <c r="AA116" s="113">
        <f>IF(OR(X116="",Z116="",Z116=0),"",X116/Z116)</f>
        <v/>
      </c>
      <c r="AB116" s="114">
        <f>IF(OR(I116="",J116="",K116="",I116=J116),"",ABS(K116-I116)/ABS(I116-J116))</f>
        <v/>
      </c>
      <c r="AC116" s="51">
        <f>IF(OR(B116="",D116="",H116="",I116=""),"",IF(L116="","Ouvert",IF(X116&gt;0,"Gagné",IF(X116&lt;0,"Perdu","Neutre"))))</f>
        <v/>
      </c>
      <c r="AD116" s="115">
        <f>IF(X116="","",IF(C116="",B116,C116))</f>
        <v/>
      </c>
      <c r="AE116" s="109">
        <f>IF(B116="","",WEEKDAY(B116,2))</f>
        <v/>
      </c>
      <c r="AF116" s="112">
        <f>IF(X116="","",'Paramètres'!$C$9+SUM($X$6:X116))</f>
        <v/>
      </c>
      <c r="AG116" s="112">
        <f>IF(AF116="","",MAX('Paramètres'!$C$9,MAX($AF$6:AF116)))</f>
        <v/>
      </c>
      <c r="AH116" s="116">
        <f>IF(AF116="","",AF116/AG116-1)</f>
        <v/>
      </c>
      <c r="AI116" s="109">
        <f>IF(X116="","",IF(X116&gt;0,IF(N(AI115)&gt;0,N(AI115)+1,1),IF(X116&lt;0,IF(N(AI115)&lt;0,N(AI115)-1,-1),0)))</f>
        <v/>
      </c>
      <c r="AJ116" s="116">
        <f>IF(Z116="","",IFERROR(Z116/('Paramètres'!$C$9+SUM($X$5:X115)),""))</f>
        <v/>
      </c>
      <c r="AK116" s="109">
        <f>IF(AC116="Ouvert",COUNTIF($AC$6:AC116,"Ouvert"),"")</f>
        <v/>
      </c>
    </row>
    <row r="117" ht="19" customHeight="1">
      <c r="A117" s="104">
        <f>IF(B117="","",ROW()-5)</f>
        <v/>
      </c>
      <c r="B117" s="61" t="n"/>
      <c r="C117" s="61" t="n"/>
      <c r="D117" s="105" t="n"/>
      <c r="E117" s="49" t="n"/>
      <c r="F117" s="105" t="n"/>
      <c r="G117" s="49" t="n"/>
      <c r="H117" s="106" t="n"/>
      <c r="I117" s="107" t="n"/>
      <c r="J117" s="107" t="n"/>
      <c r="K117" s="107" t="n"/>
      <c r="L117" s="107" t="n"/>
      <c r="M117" s="106" t="n"/>
      <c r="N117" s="62" t="n"/>
      <c r="O117" s="49" t="n"/>
      <c r="P117" s="49" t="n"/>
      <c r="Q117" s="105" t="n"/>
      <c r="R117" s="105" t="n"/>
      <c r="S117" s="105" t="n"/>
      <c r="T117" s="105" t="n"/>
      <c r="U117" s="108">
        <f>IF(OR(H117="",I117="",I117=0),"",H117/I117)</f>
        <v/>
      </c>
      <c r="V117" s="109">
        <f>IF(OR(B117="",C117="",L117=""),"",MAX(0,C117-B117))</f>
        <v/>
      </c>
      <c r="W117" s="110">
        <f>IF(OR(L117="",U117=""),"",IF(E117="Short",(I117-L117)*U117,(L117-I117)*U117))</f>
        <v/>
      </c>
      <c r="X117" s="110">
        <f>IF(W117="","",W117-IF(M117="",0,M117))</f>
        <v/>
      </c>
      <c r="Y117" s="111">
        <f>IF(OR(X117="",H117="",H117=0),"",X117/H117)</f>
        <v/>
      </c>
      <c r="Z117" s="112">
        <f>IF(OR(I117="",J117="",U117=""),"",ABS(I117-J117)*U117)</f>
        <v/>
      </c>
      <c r="AA117" s="113">
        <f>IF(OR(X117="",Z117="",Z117=0),"",X117/Z117)</f>
        <v/>
      </c>
      <c r="AB117" s="114">
        <f>IF(OR(I117="",J117="",K117="",I117=J117),"",ABS(K117-I117)/ABS(I117-J117))</f>
        <v/>
      </c>
      <c r="AC117" s="51">
        <f>IF(OR(B117="",D117="",H117="",I117=""),"",IF(L117="","Ouvert",IF(X117&gt;0,"Gagné",IF(X117&lt;0,"Perdu","Neutre"))))</f>
        <v/>
      </c>
      <c r="AD117" s="115">
        <f>IF(X117="","",IF(C117="",B117,C117))</f>
        <v/>
      </c>
      <c r="AE117" s="109">
        <f>IF(B117="","",WEEKDAY(B117,2))</f>
        <v/>
      </c>
      <c r="AF117" s="112">
        <f>IF(X117="","",'Paramètres'!$C$9+SUM($X$6:X117))</f>
        <v/>
      </c>
      <c r="AG117" s="112">
        <f>IF(AF117="","",MAX('Paramètres'!$C$9,MAX($AF$6:AF117)))</f>
        <v/>
      </c>
      <c r="AH117" s="116">
        <f>IF(AF117="","",AF117/AG117-1)</f>
        <v/>
      </c>
      <c r="AI117" s="109">
        <f>IF(X117="","",IF(X117&gt;0,IF(N(AI116)&gt;0,N(AI116)+1,1),IF(X117&lt;0,IF(N(AI116)&lt;0,N(AI116)-1,-1),0)))</f>
        <v/>
      </c>
      <c r="AJ117" s="116">
        <f>IF(Z117="","",IFERROR(Z117/('Paramètres'!$C$9+SUM($X$5:X116)),""))</f>
        <v/>
      </c>
      <c r="AK117" s="109">
        <f>IF(AC117="Ouvert",COUNTIF($AC$6:AC117,"Ouvert"),"")</f>
        <v/>
      </c>
    </row>
    <row r="118" ht="19" customHeight="1">
      <c r="A118" s="104">
        <f>IF(B118="","",ROW()-5)</f>
        <v/>
      </c>
      <c r="B118" s="61" t="n"/>
      <c r="C118" s="61" t="n"/>
      <c r="D118" s="105" t="n"/>
      <c r="E118" s="49" t="n"/>
      <c r="F118" s="105" t="n"/>
      <c r="G118" s="49" t="n"/>
      <c r="H118" s="106" t="n"/>
      <c r="I118" s="107" t="n"/>
      <c r="J118" s="107" t="n"/>
      <c r="K118" s="107" t="n"/>
      <c r="L118" s="107" t="n"/>
      <c r="M118" s="106" t="n"/>
      <c r="N118" s="62" t="n"/>
      <c r="O118" s="49" t="n"/>
      <c r="P118" s="49" t="n"/>
      <c r="Q118" s="105" t="n"/>
      <c r="R118" s="105" t="n"/>
      <c r="S118" s="105" t="n"/>
      <c r="T118" s="105" t="n"/>
      <c r="U118" s="108">
        <f>IF(OR(H118="",I118="",I118=0),"",H118/I118)</f>
        <v/>
      </c>
      <c r="V118" s="109">
        <f>IF(OR(B118="",C118="",L118=""),"",MAX(0,C118-B118))</f>
        <v/>
      </c>
      <c r="W118" s="110">
        <f>IF(OR(L118="",U118=""),"",IF(E118="Short",(I118-L118)*U118,(L118-I118)*U118))</f>
        <v/>
      </c>
      <c r="X118" s="110">
        <f>IF(W118="","",W118-IF(M118="",0,M118))</f>
        <v/>
      </c>
      <c r="Y118" s="111">
        <f>IF(OR(X118="",H118="",H118=0),"",X118/H118)</f>
        <v/>
      </c>
      <c r="Z118" s="112">
        <f>IF(OR(I118="",J118="",U118=""),"",ABS(I118-J118)*U118)</f>
        <v/>
      </c>
      <c r="AA118" s="113">
        <f>IF(OR(X118="",Z118="",Z118=0),"",X118/Z118)</f>
        <v/>
      </c>
      <c r="AB118" s="114">
        <f>IF(OR(I118="",J118="",K118="",I118=J118),"",ABS(K118-I118)/ABS(I118-J118))</f>
        <v/>
      </c>
      <c r="AC118" s="51">
        <f>IF(OR(B118="",D118="",H118="",I118=""),"",IF(L118="","Ouvert",IF(X118&gt;0,"Gagné",IF(X118&lt;0,"Perdu","Neutre"))))</f>
        <v/>
      </c>
      <c r="AD118" s="115">
        <f>IF(X118="","",IF(C118="",B118,C118))</f>
        <v/>
      </c>
      <c r="AE118" s="109">
        <f>IF(B118="","",WEEKDAY(B118,2))</f>
        <v/>
      </c>
      <c r="AF118" s="112">
        <f>IF(X118="","",'Paramètres'!$C$9+SUM($X$6:X118))</f>
        <v/>
      </c>
      <c r="AG118" s="112">
        <f>IF(AF118="","",MAX('Paramètres'!$C$9,MAX($AF$6:AF118)))</f>
        <v/>
      </c>
      <c r="AH118" s="116">
        <f>IF(AF118="","",AF118/AG118-1)</f>
        <v/>
      </c>
      <c r="AI118" s="109">
        <f>IF(X118="","",IF(X118&gt;0,IF(N(AI117)&gt;0,N(AI117)+1,1),IF(X118&lt;0,IF(N(AI117)&lt;0,N(AI117)-1,-1),0)))</f>
        <v/>
      </c>
      <c r="AJ118" s="116">
        <f>IF(Z118="","",IFERROR(Z118/('Paramètres'!$C$9+SUM($X$5:X117)),""))</f>
        <v/>
      </c>
      <c r="AK118" s="109">
        <f>IF(AC118="Ouvert",COUNTIF($AC$6:AC118,"Ouvert"),"")</f>
        <v/>
      </c>
    </row>
    <row r="119" ht="19" customHeight="1">
      <c r="A119" s="104">
        <f>IF(B119="","",ROW()-5)</f>
        <v/>
      </c>
      <c r="B119" s="61" t="n"/>
      <c r="C119" s="61" t="n"/>
      <c r="D119" s="105" t="n"/>
      <c r="E119" s="49" t="n"/>
      <c r="F119" s="105" t="n"/>
      <c r="G119" s="49" t="n"/>
      <c r="H119" s="106" t="n"/>
      <c r="I119" s="107" t="n"/>
      <c r="J119" s="107" t="n"/>
      <c r="K119" s="107" t="n"/>
      <c r="L119" s="107" t="n"/>
      <c r="M119" s="106" t="n"/>
      <c r="N119" s="62" t="n"/>
      <c r="O119" s="49" t="n"/>
      <c r="P119" s="49" t="n"/>
      <c r="Q119" s="105" t="n"/>
      <c r="R119" s="105" t="n"/>
      <c r="S119" s="105" t="n"/>
      <c r="T119" s="105" t="n"/>
      <c r="U119" s="108">
        <f>IF(OR(H119="",I119="",I119=0),"",H119/I119)</f>
        <v/>
      </c>
      <c r="V119" s="109">
        <f>IF(OR(B119="",C119="",L119=""),"",MAX(0,C119-B119))</f>
        <v/>
      </c>
      <c r="W119" s="110">
        <f>IF(OR(L119="",U119=""),"",IF(E119="Short",(I119-L119)*U119,(L119-I119)*U119))</f>
        <v/>
      </c>
      <c r="X119" s="110">
        <f>IF(W119="","",W119-IF(M119="",0,M119))</f>
        <v/>
      </c>
      <c r="Y119" s="111">
        <f>IF(OR(X119="",H119="",H119=0),"",X119/H119)</f>
        <v/>
      </c>
      <c r="Z119" s="112">
        <f>IF(OR(I119="",J119="",U119=""),"",ABS(I119-J119)*U119)</f>
        <v/>
      </c>
      <c r="AA119" s="113">
        <f>IF(OR(X119="",Z119="",Z119=0),"",X119/Z119)</f>
        <v/>
      </c>
      <c r="AB119" s="114">
        <f>IF(OR(I119="",J119="",K119="",I119=J119),"",ABS(K119-I119)/ABS(I119-J119))</f>
        <v/>
      </c>
      <c r="AC119" s="51">
        <f>IF(OR(B119="",D119="",H119="",I119=""),"",IF(L119="","Ouvert",IF(X119&gt;0,"Gagné",IF(X119&lt;0,"Perdu","Neutre"))))</f>
        <v/>
      </c>
      <c r="AD119" s="115">
        <f>IF(X119="","",IF(C119="",B119,C119))</f>
        <v/>
      </c>
      <c r="AE119" s="109">
        <f>IF(B119="","",WEEKDAY(B119,2))</f>
        <v/>
      </c>
      <c r="AF119" s="112">
        <f>IF(X119="","",'Paramètres'!$C$9+SUM($X$6:X119))</f>
        <v/>
      </c>
      <c r="AG119" s="112">
        <f>IF(AF119="","",MAX('Paramètres'!$C$9,MAX($AF$6:AF119)))</f>
        <v/>
      </c>
      <c r="AH119" s="116">
        <f>IF(AF119="","",AF119/AG119-1)</f>
        <v/>
      </c>
      <c r="AI119" s="109">
        <f>IF(X119="","",IF(X119&gt;0,IF(N(AI118)&gt;0,N(AI118)+1,1),IF(X119&lt;0,IF(N(AI118)&lt;0,N(AI118)-1,-1),0)))</f>
        <v/>
      </c>
      <c r="AJ119" s="116">
        <f>IF(Z119="","",IFERROR(Z119/('Paramètres'!$C$9+SUM($X$5:X118)),""))</f>
        <v/>
      </c>
      <c r="AK119" s="109">
        <f>IF(AC119="Ouvert",COUNTIF($AC$6:AC119,"Ouvert"),"")</f>
        <v/>
      </c>
    </row>
    <row r="120" ht="19" customHeight="1">
      <c r="A120" s="104">
        <f>IF(B120="","",ROW()-5)</f>
        <v/>
      </c>
      <c r="B120" s="61" t="n"/>
      <c r="C120" s="61" t="n"/>
      <c r="D120" s="105" t="n"/>
      <c r="E120" s="49" t="n"/>
      <c r="F120" s="105" t="n"/>
      <c r="G120" s="49" t="n"/>
      <c r="H120" s="106" t="n"/>
      <c r="I120" s="107" t="n"/>
      <c r="J120" s="107" t="n"/>
      <c r="K120" s="107" t="n"/>
      <c r="L120" s="107" t="n"/>
      <c r="M120" s="106" t="n"/>
      <c r="N120" s="62" t="n"/>
      <c r="O120" s="49" t="n"/>
      <c r="P120" s="49" t="n"/>
      <c r="Q120" s="105" t="n"/>
      <c r="R120" s="105" t="n"/>
      <c r="S120" s="105" t="n"/>
      <c r="T120" s="105" t="n"/>
      <c r="U120" s="108">
        <f>IF(OR(H120="",I120="",I120=0),"",H120/I120)</f>
        <v/>
      </c>
      <c r="V120" s="109">
        <f>IF(OR(B120="",C120="",L120=""),"",MAX(0,C120-B120))</f>
        <v/>
      </c>
      <c r="W120" s="110">
        <f>IF(OR(L120="",U120=""),"",IF(E120="Short",(I120-L120)*U120,(L120-I120)*U120))</f>
        <v/>
      </c>
      <c r="X120" s="110">
        <f>IF(W120="","",W120-IF(M120="",0,M120))</f>
        <v/>
      </c>
      <c r="Y120" s="111">
        <f>IF(OR(X120="",H120="",H120=0),"",X120/H120)</f>
        <v/>
      </c>
      <c r="Z120" s="112">
        <f>IF(OR(I120="",J120="",U120=""),"",ABS(I120-J120)*U120)</f>
        <v/>
      </c>
      <c r="AA120" s="113">
        <f>IF(OR(X120="",Z120="",Z120=0),"",X120/Z120)</f>
        <v/>
      </c>
      <c r="AB120" s="114">
        <f>IF(OR(I120="",J120="",K120="",I120=J120),"",ABS(K120-I120)/ABS(I120-J120))</f>
        <v/>
      </c>
      <c r="AC120" s="51">
        <f>IF(OR(B120="",D120="",H120="",I120=""),"",IF(L120="","Ouvert",IF(X120&gt;0,"Gagné",IF(X120&lt;0,"Perdu","Neutre"))))</f>
        <v/>
      </c>
      <c r="AD120" s="115">
        <f>IF(X120="","",IF(C120="",B120,C120))</f>
        <v/>
      </c>
      <c r="AE120" s="109">
        <f>IF(B120="","",WEEKDAY(B120,2))</f>
        <v/>
      </c>
      <c r="AF120" s="112">
        <f>IF(X120="","",'Paramètres'!$C$9+SUM($X$6:X120))</f>
        <v/>
      </c>
      <c r="AG120" s="112">
        <f>IF(AF120="","",MAX('Paramètres'!$C$9,MAX($AF$6:AF120)))</f>
        <v/>
      </c>
      <c r="AH120" s="116">
        <f>IF(AF120="","",AF120/AG120-1)</f>
        <v/>
      </c>
      <c r="AI120" s="109">
        <f>IF(X120="","",IF(X120&gt;0,IF(N(AI119)&gt;0,N(AI119)+1,1),IF(X120&lt;0,IF(N(AI119)&lt;0,N(AI119)-1,-1),0)))</f>
        <v/>
      </c>
      <c r="AJ120" s="116">
        <f>IF(Z120="","",IFERROR(Z120/('Paramètres'!$C$9+SUM($X$5:X119)),""))</f>
        <v/>
      </c>
      <c r="AK120" s="109">
        <f>IF(AC120="Ouvert",COUNTIF($AC$6:AC120,"Ouvert"),"")</f>
        <v/>
      </c>
    </row>
    <row r="121" ht="19" customHeight="1">
      <c r="A121" s="104">
        <f>IF(B121="","",ROW()-5)</f>
        <v/>
      </c>
      <c r="B121" s="61" t="n"/>
      <c r="C121" s="61" t="n"/>
      <c r="D121" s="105" t="n"/>
      <c r="E121" s="49" t="n"/>
      <c r="F121" s="105" t="n"/>
      <c r="G121" s="49" t="n"/>
      <c r="H121" s="106" t="n"/>
      <c r="I121" s="107" t="n"/>
      <c r="J121" s="107" t="n"/>
      <c r="K121" s="107" t="n"/>
      <c r="L121" s="107" t="n"/>
      <c r="M121" s="106" t="n"/>
      <c r="N121" s="62" t="n"/>
      <c r="O121" s="49" t="n"/>
      <c r="P121" s="49" t="n"/>
      <c r="Q121" s="105" t="n"/>
      <c r="R121" s="105" t="n"/>
      <c r="S121" s="105" t="n"/>
      <c r="T121" s="105" t="n"/>
      <c r="U121" s="108">
        <f>IF(OR(H121="",I121="",I121=0),"",H121/I121)</f>
        <v/>
      </c>
      <c r="V121" s="109">
        <f>IF(OR(B121="",C121="",L121=""),"",MAX(0,C121-B121))</f>
        <v/>
      </c>
      <c r="W121" s="110">
        <f>IF(OR(L121="",U121=""),"",IF(E121="Short",(I121-L121)*U121,(L121-I121)*U121))</f>
        <v/>
      </c>
      <c r="X121" s="110">
        <f>IF(W121="","",W121-IF(M121="",0,M121))</f>
        <v/>
      </c>
      <c r="Y121" s="111">
        <f>IF(OR(X121="",H121="",H121=0),"",X121/H121)</f>
        <v/>
      </c>
      <c r="Z121" s="112">
        <f>IF(OR(I121="",J121="",U121=""),"",ABS(I121-J121)*U121)</f>
        <v/>
      </c>
      <c r="AA121" s="113">
        <f>IF(OR(X121="",Z121="",Z121=0),"",X121/Z121)</f>
        <v/>
      </c>
      <c r="AB121" s="114">
        <f>IF(OR(I121="",J121="",K121="",I121=J121),"",ABS(K121-I121)/ABS(I121-J121))</f>
        <v/>
      </c>
      <c r="AC121" s="51">
        <f>IF(OR(B121="",D121="",H121="",I121=""),"",IF(L121="","Ouvert",IF(X121&gt;0,"Gagné",IF(X121&lt;0,"Perdu","Neutre"))))</f>
        <v/>
      </c>
      <c r="AD121" s="115">
        <f>IF(X121="","",IF(C121="",B121,C121))</f>
        <v/>
      </c>
      <c r="AE121" s="109">
        <f>IF(B121="","",WEEKDAY(B121,2))</f>
        <v/>
      </c>
      <c r="AF121" s="112">
        <f>IF(X121="","",'Paramètres'!$C$9+SUM($X$6:X121))</f>
        <v/>
      </c>
      <c r="AG121" s="112">
        <f>IF(AF121="","",MAX('Paramètres'!$C$9,MAX($AF$6:AF121)))</f>
        <v/>
      </c>
      <c r="AH121" s="116">
        <f>IF(AF121="","",AF121/AG121-1)</f>
        <v/>
      </c>
      <c r="AI121" s="109">
        <f>IF(X121="","",IF(X121&gt;0,IF(N(AI120)&gt;0,N(AI120)+1,1),IF(X121&lt;0,IF(N(AI120)&lt;0,N(AI120)-1,-1),0)))</f>
        <v/>
      </c>
      <c r="AJ121" s="116">
        <f>IF(Z121="","",IFERROR(Z121/('Paramètres'!$C$9+SUM($X$5:X120)),""))</f>
        <v/>
      </c>
      <c r="AK121" s="109">
        <f>IF(AC121="Ouvert",COUNTIF($AC$6:AC121,"Ouvert"),"")</f>
        <v/>
      </c>
    </row>
    <row r="122" ht="19" customHeight="1">
      <c r="A122" s="104">
        <f>IF(B122="","",ROW()-5)</f>
        <v/>
      </c>
      <c r="B122" s="61" t="n"/>
      <c r="C122" s="61" t="n"/>
      <c r="D122" s="105" t="n"/>
      <c r="E122" s="49" t="n"/>
      <c r="F122" s="105" t="n"/>
      <c r="G122" s="49" t="n"/>
      <c r="H122" s="106" t="n"/>
      <c r="I122" s="107" t="n"/>
      <c r="J122" s="107" t="n"/>
      <c r="K122" s="107" t="n"/>
      <c r="L122" s="107" t="n"/>
      <c r="M122" s="106" t="n"/>
      <c r="N122" s="62" t="n"/>
      <c r="O122" s="49" t="n"/>
      <c r="P122" s="49" t="n"/>
      <c r="Q122" s="105" t="n"/>
      <c r="R122" s="105" t="n"/>
      <c r="S122" s="105" t="n"/>
      <c r="T122" s="105" t="n"/>
      <c r="U122" s="108">
        <f>IF(OR(H122="",I122="",I122=0),"",H122/I122)</f>
        <v/>
      </c>
      <c r="V122" s="109">
        <f>IF(OR(B122="",C122="",L122=""),"",MAX(0,C122-B122))</f>
        <v/>
      </c>
      <c r="W122" s="110">
        <f>IF(OR(L122="",U122=""),"",IF(E122="Short",(I122-L122)*U122,(L122-I122)*U122))</f>
        <v/>
      </c>
      <c r="X122" s="110">
        <f>IF(W122="","",W122-IF(M122="",0,M122))</f>
        <v/>
      </c>
      <c r="Y122" s="111">
        <f>IF(OR(X122="",H122="",H122=0),"",X122/H122)</f>
        <v/>
      </c>
      <c r="Z122" s="112">
        <f>IF(OR(I122="",J122="",U122=""),"",ABS(I122-J122)*U122)</f>
        <v/>
      </c>
      <c r="AA122" s="113">
        <f>IF(OR(X122="",Z122="",Z122=0),"",X122/Z122)</f>
        <v/>
      </c>
      <c r="AB122" s="114">
        <f>IF(OR(I122="",J122="",K122="",I122=J122),"",ABS(K122-I122)/ABS(I122-J122))</f>
        <v/>
      </c>
      <c r="AC122" s="51">
        <f>IF(OR(B122="",D122="",H122="",I122=""),"",IF(L122="","Ouvert",IF(X122&gt;0,"Gagné",IF(X122&lt;0,"Perdu","Neutre"))))</f>
        <v/>
      </c>
      <c r="AD122" s="115">
        <f>IF(X122="","",IF(C122="",B122,C122))</f>
        <v/>
      </c>
      <c r="AE122" s="109">
        <f>IF(B122="","",WEEKDAY(B122,2))</f>
        <v/>
      </c>
      <c r="AF122" s="112">
        <f>IF(X122="","",'Paramètres'!$C$9+SUM($X$6:X122))</f>
        <v/>
      </c>
      <c r="AG122" s="112">
        <f>IF(AF122="","",MAX('Paramètres'!$C$9,MAX($AF$6:AF122)))</f>
        <v/>
      </c>
      <c r="AH122" s="116">
        <f>IF(AF122="","",AF122/AG122-1)</f>
        <v/>
      </c>
      <c r="AI122" s="109">
        <f>IF(X122="","",IF(X122&gt;0,IF(N(AI121)&gt;0,N(AI121)+1,1),IF(X122&lt;0,IF(N(AI121)&lt;0,N(AI121)-1,-1),0)))</f>
        <v/>
      </c>
      <c r="AJ122" s="116">
        <f>IF(Z122="","",IFERROR(Z122/('Paramètres'!$C$9+SUM($X$5:X121)),""))</f>
        <v/>
      </c>
      <c r="AK122" s="109">
        <f>IF(AC122="Ouvert",COUNTIF($AC$6:AC122,"Ouvert"),"")</f>
        <v/>
      </c>
    </row>
    <row r="123" ht="19" customHeight="1">
      <c r="A123" s="104">
        <f>IF(B123="","",ROW()-5)</f>
        <v/>
      </c>
      <c r="B123" s="61" t="n"/>
      <c r="C123" s="61" t="n"/>
      <c r="D123" s="105" t="n"/>
      <c r="E123" s="49" t="n"/>
      <c r="F123" s="105" t="n"/>
      <c r="G123" s="49" t="n"/>
      <c r="H123" s="106" t="n"/>
      <c r="I123" s="107" t="n"/>
      <c r="J123" s="107" t="n"/>
      <c r="K123" s="107" t="n"/>
      <c r="L123" s="107" t="n"/>
      <c r="M123" s="106" t="n"/>
      <c r="N123" s="62" t="n"/>
      <c r="O123" s="49" t="n"/>
      <c r="P123" s="49" t="n"/>
      <c r="Q123" s="105" t="n"/>
      <c r="R123" s="105" t="n"/>
      <c r="S123" s="105" t="n"/>
      <c r="T123" s="105" t="n"/>
      <c r="U123" s="108">
        <f>IF(OR(H123="",I123="",I123=0),"",H123/I123)</f>
        <v/>
      </c>
      <c r="V123" s="109">
        <f>IF(OR(B123="",C123="",L123=""),"",MAX(0,C123-B123))</f>
        <v/>
      </c>
      <c r="W123" s="110">
        <f>IF(OR(L123="",U123=""),"",IF(E123="Short",(I123-L123)*U123,(L123-I123)*U123))</f>
        <v/>
      </c>
      <c r="X123" s="110">
        <f>IF(W123="","",W123-IF(M123="",0,M123))</f>
        <v/>
      </c>
      <c r="Y123" s="111">
        <f>IF(OR(X123="",H123="",H123=0),"",X123/H123)</f>
        <v/>
      </c>
      <c r="Z123" s="112">
        <f>IF(OR(I123="",J123="",U123=""),"",ABS(I123-J123)*U123)</f>
        <v/>
      </c>
      <c r="AA123" s="113">
        <f>IF(OR(X123="",Z123="",Z123=0),"",X123/Z123)</f>
        <v/>
      </c>
      <c r="AB123" s="114">
        <f>IF(OR(I123="",J123="",K123="",I123=J123),"",ABS(K123-I123)/ABS(I123-J123))</f>
        <v/>
      </c>
      <c r="AC123" s="51">
        <f>IF(OR(B123="",D123="",H123="",I123=""),"",IF(L123="","Ouvert",IF(X123&gt;0,"Gagné",IF(X123&lt;0,"Perdu","Neutre"))))</f>
        <v/>
      </c>
      <c r="AD123" s="115">
        <f>IF(X123="","",IF(C123="",B123,C123))</f>
        <v/>
      </c>
      <c r="AE123" s="109">
        <f>IF(B123="","",WEEKDAY(B123,2))</f>
        <v/>
      </c>
      <c r="AF123" s="112">
        <f>IF(X123="","",'Paramètres'!$C$9+SUM($X$6:X123))</f>
        <v/>
      </c>
      <c r="AG123" s="112">
        <f>IF(AF123="","",MAX('Paramètres'!$C$9,MAX($AF$6:AF123)))</f>
        <v/>
      </c>
      <c r="AH123" s="116">
        <f>IF(AF123="","",AF123/AG123-1)</f>
        <v/>
      </c>
      <c r="AI123" s="109">
        <f>IF(X123="","",IF(X123&gt;0,IF(N(AI122)&gt;0,N(AI122)+1,1),IF(X123&lt;0,IF(N(AI122)&lt;0,N(AI122)-1,-1),0)))</f>
        <v/>
      </c>
      <c r="AJ123" s="116">
        <f>IF(Z123="","",IFERROR(Z123/('Paramètres'!$C$9+SUM($X$5:X122)),""))</f>
        <v/>
      </c>
      <c r="AK123" s="109">
        <f>IF(AC123="Ouvert",COUNTIF($AC$6:AC123,"Ouvert"),"")</f>
        <v/>
      </c>
    </row>
    <row r="124" ht="19" customHeight="1">
      <c r="A124" s="104">
        <f>IF(B124="","",ROW()-5)</f>
        <v/>
      </c>
      <c r="B124" s="61" t="n"/>
      <c r="C124" s="61" t="n"/>
      <c r="D124" s="105" t="n"/>
      <c r="E124" s="49" t="n"/>
      <c r="F124" s="105" t="n"/>
      <c r="G124" s="49" t="n"/>
      <c r="H124" s="106" t="n"/>
      <c r="I124" s="107" t="n"/>
      <c r="J124" s="107" t="n"/>
      <c r="K124" s="107" t="n"/>
      <c r="L124" s="107" t="n"/>
      <c r="M124" s="106" t="n"/>
      <c r="N124" s="62" t="n"/>
      <c r="O124" s="49" t="n"/>
      <c r="P124" s="49" t="n"/>
      <c r="Q124" s="105" t="n"/>
      <c r="R124" s="105" t="n"/>
      <c r="S124" s="105" t="n"/>
      <c r="T124" s="105" t="n"/>
      <c r="U124" s="108">
        <f>IF(OR(H124="",I124="",I124=0),"",H124/I124)</f>
        <v/>
      </c>
      <c r="V124" s="109">
        <f>IF(OR(B124="",C124="",L124=""),"",MAX(0,C124-B124))</f>
        <v/>
      </c>
      <c r="W124" s="110">
        <f>IF(OR(L124="",U124=""),"",IF(E124="Short",(I124-L124)*U124,(L124-I124)*U124))</f>
        <v/>
      </c>
      <c r="X124" s="110">
        <f>IF(W124="","",W124-IF(M124="",0,M124))</f>
        <v/>
      </c>
      <c r="Y124" s="111">
        <f>IF(OR(X124="",H124="",H124=0),"",X124/H124)</f>
        <v/>
      </c>
      <c r="Z124" s="112">
        <f>IF(OR(I124="",J124="",U124=""),"",ABS(I124-J124)*U124)</f>
        <v/>
      </c>
      <c r="AA124" s="113">
        <f>IF(OR(X124="",Z124="",Z124=0),"",X124/Z124)</f>
        <v/>
      </c>
      <c r="AB124" s="114">
        <f>IF(OR(I124="",J124="",K124="",I124=J124),"",ABS(K124-I124)/ABS(I124-J124))</f>
        <v/>
      </c>
      <c r="AC124" s="51">
        <f>IF(OR(B124="",D124="",H124="",I124=""),"",IF(L124="","Ouvert",IF(X124&gt;0,"Gagné",IF(X124&lt;0,"Perdu","Neutre"))))</f>
        <v/>
      </c>
      <c r="AD124" s="115">
        <f>IF(X124="","",IF(C124="",B124,C124))</f>
        <v/>
      </c>
      <c r="AE124" s="109">
        <f>IF(B124="","",WEEKDAY(B124,2))</f>
        <v/>
      </c>
      <c r="AF124" s="112">
        <f>IF(X124="","",'Paramètres'!$C$9+SUM($X$6:X124))</f>
        <v/>
      </c>
      <c r="AG124" s="112">
        <f>IF(AF124="","",MAX('Paramètres'!$C$9,MAX($AF$6:AF124)))</f>
        <v/>
      </c>
      <c r="AH124" s="116">
        <f>IF(AF124="","",AF124/AG124-1)</f>
        <v/>
      </c>
      <c r="AI124" s="109">
        <f>IF(X124="","",IF(X124&gt;0,IF(N(AI123)&gt;0,N(AI123)+1,1),IF(X124&lt;0,IF(N(AI123)&lt;0,N(AI123)-1,-1),0)))</f>
        <v/>
      </c>
      <c r="AJ124" s="116">
        <f>IF(Z124="","",IFERROR(Z124/('Paramètres'!$C$9+SUM($X$5:X123)),""))</f>
        <v/>
      </c>
      <c r="AK124" s="109">
        <f>IF(AC124="Ouvert",COUNTIF($AC$6:AC124,"Ouvert"),"")</f>
        <v/>
      </c>
    </row>
    <row r="125" ht="19" customHeight="1">
      <c r="A125" s="104">
        <f>IF(B125="","",ROW()-5)</f>
        <v/>
      </c>
      <c r="B125" s="61" t="n"/>
      <c r="C125" s="61" t="n"/>
      <c r="D125" s="105" t="n"/>
      <c r="E125" s="49" t="n"/>
      <c r="F125" s="105" t="n"/>
      <c r="G125" s="49" t="n"/>
      <c r="H125" s="106" t="n"/>
      <c r="I125" s="107" t="n"/>
      <c r="J125" s="107" t="n"/>
      <c r="K125" s="107" t="n"/>
      <c r="L125" s="107" t="n"/>
      <c r="M125" s="106" t="n"/>
      <c r="N125" s="62" t="n"/>
      <c r="O125" s="49" t="n"/>
      <c r="P125" s="49" t="n"/>
      <c r="Q125" s="105" t="n"/>
      <c r="R125" s="105" t="n"/>
      <c r="S125" s="105" t="n"/>
      <c r="T125" s="105" t="n"/>
      <c r="U125" s="108">
        <f>IF(OR(H125="",I125="",I125=0),"",H125/I125)</f>
        <v/>
      </c>
      <c r="V125" s="109">
        <f>IF(OR(B125="",C125="",L125=""),"",MAX(0,C125-B125))</f>
        <v/>
      </c>
      <c r="W125" s="110">
        <f>IF(OR(L125="",U125=""),"",IF(E125="Short",(I125-L125)*U125,(L125-I125)*U125))</f>
        <v/>
      </c>
      <c r="X125" s="110">
        <f>IF(W125="","",W125-IF(M125="",0,M125))</f>
        <v/>
      </c>
      <c r="Y125" s="111">
        <f>IF(OR(X125="",H125="",H125=0),"",X125/H125)</f>
        <v/>
      </c>
      <c r="Z125" s="112">
        <f>IF(OR(I125="",J125="",U125=""),"",ABS(I125-J125)*U125)</f>
        <v/>
      </c>
      <c r="AA125" s="113">
        <f>IF(OR(X125="",Z125="",Z125=0),"",X125/Z125)</f>
        <v/>
      </c>
      <c r="AB125" s="114">
        <f>IF(OR(I125="",J125="",K125="",I125=J125),"",ABS(K125-I125)/ABS(I125-J125))</f>
        <v/>
      </c>
      <c r="AC125" s="51">
        <f>IF(OR(B125="",D125="",H125="",I125=""),"",IF(L125="","Ouvert",IF(X125&gt;0,"Gagné",IF(X125&lt;0,"Perdu","Neutre"))))</f>
        <v/>
      </c>
      <c r="AD125" s="115">
        <f>IF(X125="","",IF(C125="",B125,C125))</f>
        <v/>
      </c>
      <c r="AE125" s="109">
        <f>IF(B125="","",WEEKDAY(B125,2))</f>
        <v/>
      </c>
      <c r="AF125" s="112">
        <f>IF(X125="","",'Paramètres'!$C$9+SUM($X$6:X125))</f>
        <v/>
      </c>
      <c r="AG125" s="112">
        <f>IF(AF125="","",MAX('Paramètres'!$C$9,MAX($AF$6:AF125)))</f>
        <v/>
      </c>
      <c r="AH125" s="116">
        <f>IF(AF125="","",AF125/AG125-1)</f>
        <v/>
      </c>
      <c r="AI125" s="109">
        <f>IF(X125="","",IF(X125&gt;0,IF(N(AI124)&gt;0,N(AI124)+1,1),IF(X125&lt;0,IF(N(AI124)&lt;0,N(AI124)-1,-1),0)))</f>
        <v/>
      </c>
      <c r="AJ125" s="116">
        <f>IF(Z125="","",IFERROR(Z125/('Paramètres'!$C$9+SUM($X$5:X124)),""))</f>
        <v/>
      </c>
      <c r="AK125" s="109">
        <f>IF(AC125="Ouvert",COUNTIF($AC$6:AC125,"Ouvert"),"")</f>
        <v/>
      </c>
    </row>
    <row r="126" ht="19" customHeight="1">
      <c r="A126" s="104">
        <f>IF(B126="","",ROW()-5)</f>
        <v/>
      </c>
      <c r="B126" s="61" t="n"/>
      <c r="C126" s="61" t="n"/>
      <c r="D126" s="105" t="n"/>
      <c r="E126" s="49" t="n"/>
      <c r="F126" s="105" t="n"/>
      <c r="G126" s="49" t="n"/>
      <c r="H126" s="106" t="n"/>
      <c r="I126" s="107" t="n"/>
      <c r="J126" s="107" t="n"/>
      <c r="K126" s="107" t="n"/>
      <c r="L126" s="107" t="n"/>
      <c r="M126" s="106" t="n"/>
      <c r="N126" s="62" t="n"/>
      <c r="O126" s="49" t="n"/>
      <c r="P126" s="49" t="n"/>
      <c r="Q126" s="105" t="n"/>
      <c r="R126" s="105" t="n"/>
      <c r="S126" s="105" t="n"/>
      <c r="T126" s="105" t="n"/>
      <c r="U126" s="108">
        <f>IF(OR(H126="",I126="",I126=0),"",H126/I126)</f>
        <v/>
      </c>
      <c r="V126" s="109">
        <f>IF(OR(B126="",C126="",L126=""),"",MAX(0,C126-B126))</f>
        <v/>
      </c>
      <c r="W126" s="110">
        <f>IF(OR(L126="",U126=""),"",IF(E126="Short",(I126-L126)*U126,(L126-I126)*U126))</f>
        <v/>
      </c>
      <c r="X126" s="110">
        <f>IF(W126="","",W126-IF(M126="",0,M126))</f>
        <v/>
      </c>
      <c r="Y126" s="111">
        <f>IF(OR(X126="",H126="",H126=0),"",X126/H126)</f>
        <v/>
      </c>
      <c r="Z126" s="112">
        <f>IF(OR(I126="",J126="",U126=""),"",ABS(I126-J126)*U126)</f>
        <v/>
      </c>
      <c r="AA126" s="113">
        <f>IF(OR(X126="",Z126="",Z126=0),"",X126/Z126)</f>
        <v/>
      </c>
      <c r="AB126" s="114">
        <f>IF(OR(I126="",J126="",K126="",I126=J126),"",ABS(K126-I126)/ABS(I126-J126))</f>
        <v/>
      </c>
      <c r="AC126" s="51">
        <f>IF(OR(B126="",D126="",H126="",I126=""),"",IF(L126="","Ouvert",IF(X126&gt;0,"Gagné",IF(X126&lt;0,"Perdu","Neutre"))))</f>
        <v/>
      </c>
      <c r="AD126" s="115">
        <f>IF(X126="","",IF(C126="",B126,C126))</f>
        <v/>
      </c>
      <c r="AE126" s="109">
        <f>IF(B126="","",WEEKDAY(B126,2))</f>
        <v/>
      </c>
      <c r="AF126" s="112">
        <f>IF(X126="","",'Paramètres'!$C$9+SUM($X$6:X126))</f>
        <v/>
      </c>
      <c r="AG126" s="112">
        <f>IF(AF126="","",MAX('Paramètres'!$C$9,MAX($AF$6:AF126)))</f>
        <v/>
      </c>
      <c r="AH126" s="116">
        <f>IF(AF126="","",AF126/AG126-1)</f>
        <v/>
      </c>
      <c r="AI126" s="109">
        <f>IF(X126="","",IF(X126&gt;0,IF(N(AI125)&gt;0,N(AI125)+1,1),IF(X126&lt;0,IF(N(AI125)&lt;0,N(AI125)-1,-1),0)))</f>
        <v/>
      </c>
      <c r="AJ126" s="116">
        <f>IF(Z126="","",IFERROR(Z126/('Paramètres'!$C$9+SUM($X$5:X125)),""))</f>
        <v/>
      </c>
      <c r="AK126" s="109">
        <f>IF(AC126="Ouvert",COUNTIF($AC$6:AC126,"Ouvert"),"")</f>
        <v/>
      </c>
    </row>
    <row r="127" ht="19" customHeight="1">
      <c r="A127" s="104">
        <f>IF(B127="","",ROW()-5)</f>
        <v/>
      </c>
      <c r="B127" s="61" t="n"/>
      <c r="C127" s="61" t="n"/>
      <c r="D127" s="105" t="n"/>
      <c r="E127" s="49" t="n"/>
      <c r="F127" s="105" t="n"/>
      <c r="G127" s="49" t="n"/>
      <c r="H127" s="106" t="n"/>
      <c r="I127" s="107" t="n"/>
      <c r="J127" s="107" t="n"/>
      <c r="K127" s="107" t="n"/>
      <c r="L127" s="107" t="n"/>
      <c r="M127" s="106" t="n"/>
      <c r="N127" s="62" t="n"/>
      <c r="O127" s="49" t="n"/>
      <c r="P127" s="49" t="n"/>
      <c r="Q127" s="105" t="n"/>
      <c r="R127" s="105" t="n"/>
      <c r="S127" s="105" t="n"/>
      <c r="T127" s="105" t="n"/>
      <c r="U127" s="108">
        <f>IF(OR(H127="",I127="",I127=0),"",H127/I127)</f>
        <v/>
      </c>
      <c r="V127" s="109">
        <f>IF(OR(B127="",C127="",L127=""),"",MAX(0,C127-B127))</f>
        <v/>
      </c>
      <c r="W127" s="110">
        <f>IF(OR(L127="",U127=""),"",IF(E127="Short",(I127-L127)*U127,(L127-I127)*U127))</f>
        <v/>
      </c>
      <c r="X127" s="110">
        <f>IF(W127="","",W127-IF(M127="",0,M127))</f>
        <v/>
      </c>
      <c r="Y127" s="111">
        <f>IF(OR(X127="",H127="",H127=0),"",X127/H127)</f>
        <v/>
      </c>
      <c r="Z127" s="112">
        <f>IF(OR(I127="",J127="",U127=""),"",ABS(I127-J127)*U127)</f>
        <v/>
      </c>
      <c r="AA127" s="113">
        <f>IF(OR(X127="",Z127="",Z127=0),"",X127/Z127)</f>
        <v/>
      </c>
      <c r="AB127" s="114">
        <f>IF(OR(I127="",J127="",K127="",I127=J127),"",ABS(K127-I127)/ABS(I127-J127))</f>
        <v/>
      </c>
      <c r="AC127" s="51">
        <f>IF(OR(B127="",D127="",H127="",I127=""),"",IF(L127="","Ouvert",IF(X127&gt;0,"Gagné",IF(X127&lt;0,"Perdu","Neutre"))))</f>
        <v/>
      </c>
      <c r="AD127" s="115">
        <f>IF(X127="","",IF(C127="",B127,C127))</f>
        <v/>
      </c>
      <c r="AE127" s="109">
        <f>IF(B127="","",WEEKDAY(B127,2))</f>
        <v/>
      </c>
      <c r="AF127" s="112">
        <f>IF(X127="","",'Paramètres'!$C$9+SUM($X$6:X127))</f>
        <v/>
      </c>
      <c r="AG127" s="112">
        <f>IF(AF127="","",MAX('Paramètres'!$C$9,MAX($AF$6:AF127)))</f>
        <v/>
      </c>
      <c r="AH127" s="116">
        <f>IF(AF127="","",AF127/AG127-1)</f>
        <v/>
      </c>
      <c r="AI127" s="109">
        <f>IF(X127="","",IF(X127&gt;0,IF(N(AI126)&gt;0,N(AI126)+1,1),IF(X127&lt;0,IF(N(AI126)&lt;0,N(AI126)-1,-1),0)))</f>
        <v/>
      </c>
      <c r="AJ127" s="116">
        <f>IF(Z127="","",IFERROR(Z127/('Paramètres'!$C$9+SUM($X$5:X126)),""))</f>
        <v/>
      </c>
      <c r="AK127" s="109">
        <f>IF(AC127="Ouvert",COUNTIF($AC$6:AC127,"Ouvert"),"")</f>
        <v/>
      </c>
    </row>
    <row r="128" ht="19" customHeight="1">
      <c r="A128" s="104">
        <f>IF(B128="","",ROW()-5)</f>
        <v/>
      </c>
      <c r="B128" s="61" t="n"/>
      <c r="C128" s="61" t="n"/>
      <c r="D128" s="105" t="n"/>
      <c r="E128" s="49" t="n"/>
      <c r="F128" s="105" t="n"/>
      <c r="G128" s="49" t="n"/>
      <c r="H128" s="106" t="n"/>
      <c r="I128" s="107" t="n"/>
      <c r="J128" s="107" t="n"/>
      <c r="K128" s="107" t="n"/>
      <c r="L128" s="107" t="n"/>
      <c r="M128" s="106" t="n"/>
      <c r="N128" s="62" t="n"/>
      <c r="O128" s="49" t="n"/>
      <c r="P128" s="49" t="n"/>
      <c r="Q128" s="105" t="n"/>
      <c r="R128" s="105" t="n"/>
      <c r="S128" s="105" t="n"/>
      <c r="T128" s="105" t="n"/>
      <c r="U128" s="108">
        <f>IF(OR(H128="",I128="",I128=0),"",H128/I128)</f>
        <v/>
      </c>
      <c r="V128" s="109">
        <f>IF(OR(B128="",C128="",L128=""),"",MAX(0,C128-B128))</f>
        <v/>
      </c>
      <c r="W128" s="110">
        <f>IF(OR(L128="",U128=""),"",IF(E128="Short",(I128-L128)*U128,(L128-I128)*U128))</f>
        <v/>
      </c>
      <c r="X128" s="110">
        <f>IF(W128="","",W128-IF(M128="",0,M128))</f>
        <v/>
      </c>
      <c r="Y128" s="111">
        <f>IF(OR(X128="",H128="",H128=0),"",X128/H128)</f>
        <v/>
      </c>
      <c r="Z128" s="112">
        <f>IF(OR(I128="",J128="",U128=""),"",ABS(I128-J128)*U128)</f>
        <v/>
      </c>
      <c r="AA128" s="113">
        <f>IF(OR(X128="",Z128="",Z128=0),"",X128/Z128)</f>
        <v/>
      </c>
      <c r="AB128" s="114">
        <f>IF(OR(I128="",J128="",K128="",I128=J128),"",ABS(K128-I128)/ABS(I128-J128))</f>
        <v/>
      </c>
      <c r="AC128" s="51">
        <f>IF(OR(B128="",D128="",H128="",I128=""),"",IF(L128="","Ouvert",IF(X128&gt;0,"Gagné",IF(X128&lt;0,"Perdu","Neutre"))))</f>
        <v/>
      </c>
      <c r="AD128" s="115">
        <f>IF(X128="","",IF(C128="",B128,C128))</f>
        <v/>
      </c>
      <c r="AE128" s="109">
        <f>IF(B128="","",WEEKDAY(B128,2))</f>
        <v/>
      </c>
      <c r="AF128" s="112">
        <f>IF(X128="","",'Paramètres'!$C$9+SUM($X$6:X128))</f>
        <v/>
      </c>
      <c r="AG128" s="112">
        <f>IF(AF128="","",MAX('Paramètres'!$C$9,MAX($AF$6:AF128)))</f>
        <v/>
      </c>
      <c r="AH128" s="116">
        <f>IF(AF128="","",AF128/AG128-1)</f>
        <v/>
      </c>
      <c r="AI128" s="109">
        <f>IF(X128="","",IF(X128&gt;0,IF(N(AI127)&gt;0,N(AI127)+1,1),IF(X128&lt;0,IF(N(AI127)&lt;0,N(AI127)-1,-1),0)))</f>
        <v/>
      </c>
      <c r="AJ128" s="116">
        <f>IF(Z128="","",IFERROR(Z128/('Paramètres'!$C$9+SUM($X$5:X127)),""))</f>
        <v/>
      </c>
      <c r="AK128" s="109">
        <f>IF(AC128="Ouvert",COUNTIF($AC$6:AC128,"Ouvert"),"")</f>
        <v/>
      </c>
    </row>
    <row r="129" ht="19" customHeight="1">
      <c r="A129" s="104">
        <f>IF(B129="","",ROW()-5)</f>
        <v/>
      </c>
      <c r="B129" s="61" t="n"/>
      <c r="C129" s="61" t="n"/>
      <c r="D129" s="105" t="n"/>
      <c r="E129" s="49" t="n"/>
      <c r="F129" s="105" t="n"/>
      <c r="G129" s="49" t="n"/>
      <c r="H129" s="106" t="n"/>
      <c r="I129" s="107" t="n"/>
      <c r="J129" s="107" t="n"/>
      <c r="K129" s="107" t="n"/>
      <c r="L129" s="107" t="n"/>
      <c r="M129" s="106" t="n"/>
      <c r="N129" s="62" t="n"/>
      <c r="O129" s="49" t="n"/>
      <c r="P129" s="49" t="n"/>
      <c r="Q129" s="105" t="n"/>
      <c r="R129" s="105" t="n"/>
      <c r="S129" s="105" t="n"/>
      <c r="T129" s="105" t="n"/>
      <c r="U129" s="108">
        <f>IF(OR(H129="",I129="",I129=0),"",H129/I129)</f>
        <v/>
      </c>
      <c r="V129" s="109">
        <f>IF(OR(B129="",C129="",L129=""),"",MAX(0,C129-B129))</f>
        <v/>
      </c>
      <c r="W129" s="110">
        <f>IF(OR(L129="",U129=""),"",IF(E129="Short",(I129-L129)*U129,(L129-I129)*U129))</f>
        <v/>
      </c>
      <c r="X129" s="110">
        <f>IF(W129="","",W129-IF(M129="",0,M129))</f>
        <v/>
      </c>
      <c r="Y129" s="111">
        <f>IF(OR(X129="",H129="",H129=0),"",X129/H129)</f>
        <v/>
      </c>
      <c r="Z129" s="112">
        <f>IF(OR(I129="",J129="",U129=""),"",ABS(I129-J129)*U129)</f>
        <v/>
      </c>
      <c r="AA129" s="113">
        <f>IF(OR(X129="",Z129="",Z129=0),"",X129/Z129)</f>
        <v/>
      </c>
      <c r="AB129" s="114">
        <f>IF(OR(I129="",J129="",K129="",I129=J129),"",ABS(K129-I129)/ABS(I129-J129))</f>
        <v/>
      </c>
      <c r="AC129" s="51">
        <f>IF(OR(B129="",D129="",H129="",I129=""),"",IF(L129="","Ouvert",IF(X129&gt;0,"Gagné",IF(X129&lt;0,"Perdu","Neutre"))))</f>
        <v/>
      </c>
      <c r="AD129" s="115">
        <f>IF(X129="","",IF(C129="",B129,C129))</f>
        <v/>
      </c>
      <c r="AE129" s="109">
        <f>IF(B129="","",WEEKDAY(B129,2))</f>
        <v/>
      </c>
      <c r="AF129" s="112">
        <f>IF(X129="","",'Paramètres'!$C$9+SUM($X$6:X129))</f>
        <v/>
      </c>
      <c r="AG129" s="112">
        <f>IF(AF129="","",MAX('Paramètres'!$C$9,MAX($AF$6:AF129)))</f>
        <v/>
      </c>
      <c r="AH129" s="116">
        <f>IF(AF129="","",AF129/AG129-1)</f>
        <v/>
      </c>
      <c r="AI129" s="109">
        <f>IF(X129="","",IF(X129&gt;0,IF(N(AI128)&gt;0,N(AI128)+1,1),IF(X129&lt;0,IF(N(AI128)&lt;0,N(AI128)-1,-1),0)))</f>
        <v/>
      </c>
      <c r="AJ129" s="116">
        <f>IF(Z129="","",IFERROR(Z129/('Paramètres'!$C$9+SUM($X$5:X128)),""))</f>
        <v/>
      </c>
      <c r="AK129" s="109">
        <f>IF(AC129="Ouvert",COUNTIF($AC$6:AC129,"Ouvert"),"")</f>
        <v/>
      </c>
    </row>
    <row r="130" ht="19" customHeight="1">
      <c r="A130" s="104">
        <f>IF(B130="","",ROW()-5)</f>
        <v/>
      </c>
      <c r="B130" s="61" t="n"/>
      <c r="C130" s="61" t="n"/>
      <c r="D130" s="105" t="n"/>
      <c r="E130" s="49" t="n"/>
      <c r="F130" s="105" t="n"/>
      <c r="G130" s="49" t="n"/>
      <c r="H130" s="106" t="n"/>
      <c r="I130" s="107" t="n"/>
      <c r="J130" s="107" t="n"/>
      <c r="K130" s="107" t="n"/>
      <c r="L130" s="107" t="n"/>
      <c r="M130" s="106" t="n"/>
      <c r="N130" s="62" t="n"/>
      <c r="O130" s="49" t="n"/>
      <c r="P130" s="49" t="n"/>
      <c r="Q130" s="105" t="n"/>
      <c r="R130" s="105" t="n"/>
      <c r="S130" s="105" t="n"/>
      <c r="T130" s="105" t="n"/>
      <c r="U130" s="108">
        <f>IF(OR(H130="",I130="",I130=0),"",H130/I130)</f>
        <v/>
      </c>
      <c r="V130" s="109">
        <f>IF(OR(B130="",C130="",L130=""),"",MAX(0,C130-B130))</f>
        <v/>
      </c>
      <c r="W130" s="110">
        <f>IF(OR(L130="",U130=""),"",IF(E130="Short",(I130-L130)*U130,(L130-I130)*U130))</f>
        <v/>
      </c>
      <c r="X130" s="110">
        <f>IF(W130="","",W130-IF(M130="",0,M130))</f>
        <v/>
      </c>
      <c r="Y130" s="111">
        <f>IF(OR(X130="",H130="",H130=0),"",X130/H130)</f>
        <v/>
      </c>
      <c r="Z130" s="112">
        <f>IF(OR(I130="",J130="",U130=""),"",ABS(I130-J130)*U130)</f>
        <v/>
      </c>
      <c r="AA130" s="113">
        <f>IF(OR(X130="",Z130="",Z130=0),"",X130/Z130)</f>
        <v/>
      </c>
      <c r="AB130" s="114">
        <f>IF(OR(I130="",J130="",K130="",I130=J130),"",ABS(K130-I130)/ABS(I130-J130))</f>
        <v/>
      </c>
      <c r="AC130" s="51">
        <f>IF(OR(B130="",D130="",H130="",I130=""),"",IF(L130="","Ouvert",IF(X130&gt;0,"Gagné",IF(X130&lt;0,"Perdu","Neutre"))))</f>
        <v/>
      </c>
      <c r="AD130" s="115">
        <f>IF(X130="","",IF(C130="",B130,C130))</f>
        <v/>
      </c>
      <c r="AE130" s="109">
        <f>IF(B130="","",WEEKDAY(B130,2))</f>
        <v/>
      </c>
      <c r="AF130" s="112">
        <f>IF(X130="","",'Paramètres'!$C$9+SUM($X$6:X130))</f>
        <v/>
      </c>
      <c r="AG130" s="112">
        <f>IF(AF130="","",MAX('Paramètres'!$C$9,MAX($AF$6:AF130)))</f>
        <v/>
      </c>
      <c r="AH130" s="116">
        <f>IF(AF130="","",AF130/AG130-1)</f>
        <v/>
      </c>
      <c r="AI130" s="109">
        <f>IF(X130="","",IF(X130&gt;0,IF(N(AI129)&gt;0,N(AI129)+1,1),IF(X130&lt;0,IF(N(AI129)&lt;0,N(AI129)-1,-1),0)))</f>
        <v/>
      </c>
      <c r="AJ130" s="116">
        <f>IF(Z130="","",IFERROR(Z130/('Paramètres'!$C$9+SUM($X$5:X129)),""))</f>
        <v/>
      </c>
      <c r="AK130" s="109">
        <f>IF(AC130="Ouvert",COUNTIF($AC$6:AC130,"Ouvert"),"")</f>
        <v/>
      </c>
    </row>
    <row r="131" ht="19" customHeight="1">
      <c r="A131" s="104">
        <f>IF(B131="","",ROW()-5)</f>
        <v/>
      </c>
      <c r="B131" s="61" t="n"/>
      <c r="C131" s="61" t="n"/>
      <c r="D131" s="105" t="n"/>
      <c r="E131" s="49" t="n"/>
      <c r="F131" s="105" t="n"/>
      <c r="G131" s="49" t="n"/>
      <c r="H131" s="106" t="n"/>
      <c r="I131" s="107" t="n"/>
      <c r="J131" s="107" t="n"/>
      <c r="K131" s="107" t="n"/>
      <c r="L131" s="107" t="n"/>
      <c r="M131" s="106" t="n"/>
      <c r="N131" s="62" t="n"/>
      <c r="O131" s="49" t="n"/>
      <c r="P131" s="49" t="n"/>
      <c r="Q131" s="105" t="n"/>
      <c r="R131" s="105" t="n"/>
      <c r="S131" s="105" t="n"/>
      <c r="T131" s="105" t="n"/>
      <c r="U131" s="108">
        <f>IF(OR(H131="",I131="",I131=0),"",H131/I131)</f>
        <v/>
      </c>
      <c r="V131" s="109">
        <f>IF(OR(B131="",C131="",L131=""),"",MAX(0,C131-B131))</f>
        <v/>
      </c>
      <c r="W131" s="110">
        <f>IF(OR(L131="",U131=""),"",IF(E131="Short",(I131-L131)*U131,(L131-I131)*U131))</f>
        <v/>
      </c>
      <c r="X131" s="110">
        <f>IF(W131="","",W131-IF(M131="",0,M131))</f>
        <v/>
      </c>
      <c r="Y131" s="111">
        <f>IF(OR(X131="",H131="",H131=0),"",X131/H131)</f>
        <v/>
      </c>
      <c r="Z131" s="112">
        <f>IF(OR(I131="",J131="",U131=""),"",ABS(I131-J131)*U131)</f>
        <v/>
      </c>
      <c r="AA131" s="113">
        <f>IF(OR(X131="",Z131="",Z131=0),"",X131/Z131)</f>
        <v/>
      </c>
      <c r="AB131" s="114">
        <f>IF(OR(I131="",J131="",K131="",I131=J131),"",ABS(K131-I131)/ABS(I131-J131))</f>
        <v/>
      </c>
      <c r="AC131" s="51">
        <f>IF(OR(B131="",D131="",H131="",I131=""),"",IF(L131="","Ouvert",IF(X131&gt;0,"Gagné",IF(X131&lt;0,"Perdu","Neutre"))))</f>
        <v/>
      </c>
      <c r="AD131" s="115">
        <f>IF(X131="","",IF(C131="",B131,C131))</f>
        <v/>
      </c>
      <c r="AE131" s="109">
        <f>IF(B131="","",WEEKDAY(B131,2))</f>
        <v/>
      </c>
      <c r="AF131" s="112">
        <f>IF(X131="","",'Paramètres'!$C$9+SUM($X$6:X131))</f>
        <v/>
      </c>
      <c r="AG131" s="112">
        <f>IF(AF131="","",MAX('Paramètres'!$C$9,MAX($AF$6:AF131)))</f>
        <v/>
      </c>
      <c r="AH131" s="116">
        <f>IF(AF131="","",AF131/AG131-1)</f>
        <v/>
      </c>
      <c r="AI131" s="109">
        <f>IF(X131="","",IF(X131&gt;0,IF(N(AI130)&gt;0,N(AI130)+1,1),IF(X131&lt;0,IF(N(AI130)&lt;0,N(AI130)-1,-1),0)))</f>
        <v/>
      </c>
      <c r="AJ131" s="116">
        <f>IF(Z131="","",IFERROR(Z131/('Paramètres'!$C$9+SUM($X$5:X130)),""))</f>
        <v/>
      </c>
      <c r="AK131" s="109">
        <f>IF(AC131="Ouvert",COUNTIF($AC$6:AC131,"Ouvert"),"")</f>
        <v/>
      </c>
    </row>
    <row r="132" ht="19" customHeight="1">
      <c r="A132" s="104">
        <f>IF(B132="","",ROW()-5)</f>
        <v/>
      </c>
      <c r="B132" s="61" t="n"/>
      <c r="C132" s="61" t="n"/>
      <c r="D132" s="105" t="n"/>
      <c r="E132" s="49" t="n"/>
      <c r="F132" s="105" t="n"/>
      <c r="G132" s="49" t="n"/>
      <c r="H132" s="106" t="n"/>
      <c r="I132" s="107" t="n"/>
      <c r="J132" s="107" t="n"/>
      <c r="K132" s="107" t="n"/>
      <c r="L132" s="107" t="n"/>
      <c r="M132" s="106" t="n"/>
      <c r="N132" s="62" t="n"/>
      <c r="O132" s="49" t="n"/>
      <c r="P132" s="49" t="n"/>
      <c r="Q132" s="105" t="n"/>
      <c r="R132" s="105" t="n"/>
      <c r="S132" s="105" t="n"/>
      <c r="T132" s="105" t="n"/>
      <c r="U132" s="108">
        <f>IF(OR(H132="",I132="",I132=0),"",H132/I132)</f>
        <v/>
      </c>
      <c r="V132" s="109">
        <f>IF(OR(B132="",C132="",L132=""),"",MAX(0,C132-B132))</f>
        <v/>
      </c>
      <c r="W132" s="110">
        <f>IF(OR(L132="",U132=""),"",IF(E132="Short",(I132-L132)*U132,(L132-I132)*U132))</f>
        <v/>
      </c>
      <c r="X132" s="110">
        <f>IF(W132="","",W132-IF(M132="",0,M132))</f>
        <v/>
      </c>
      <c r="Y132" s="111">
        <f>IF(OR(X132="",H132="",H132=0),"",X132/H132)</f>
        <v/>
      </c>
      <c r="Z132" s="112">
        <f>IF(OR(I132="",J132="",U132=""),"",ABS(I132-J132)*U132)</f>
        <v/>
      </c>
      <c r="AA132" s="113">
        <f>IF(OR(X132="",Z132="",Z132=0),"",X132/Z132)</f>
        <v/>
      </c>
      <c r="AB132" s="114">
        <f>IF(OR(I132="",J132="",K132="",I132=J132),"",ABS(K132-I132)/ABS(I132-J132))</f>
        <v/>
      </c>
      <c r="AC132" s="51">
        <f>IF(OR(B132="",D132="",H132="",I132=""),"",IF(L132="","Ouvert",IF(X132&gt;0,"Gagné",IF(X132&lt;0,"Perdu","Neutre"))))</f>
        <v/>
      </c>
      <c r="AD132" s="115">
        <f>IF(X132="","",IF(C132="",B132,C132))</f>
        <v/>
      </c>
      <c r="AE132" s="109">
        <f>IF(B132="","",WEEKDAY(B132,2))</f>
        <v/>
      </c>
      <c r="AF132" s="112">
        <f>IF(X132="","",'Paramètres'!$C$9+SUM($X$6:X132))</f>
        <v/>
      </c>
      <c r="AG132" s="112">
        <f>IF(AF132="","",MAX('Paramètres'!$C$9,MAX($AF$6:AF132)))</f>
        <v/>
      </c>
      <c r="AH132" s="116">
        <f>IF(AF132="","",AF132/AG132-1)</f>
        <v/>
      </c>
      <c r="AI132" s="109">
        <f>IF(X132="","",IF(X132&gt;0,IF(N(AI131)&gt;0,N(AI131)+1,1),IF(X132&lt;0,IF(N(AI131)&lt;0,N(AI131)-1,-1),0)))</f>
        <v/>
      </c>
      <c r="AJ132" s="116">
        <f>IF(Z132="","",IFERROR(Z132/('Paramètres'!$C$9+SUM($X$5:X131)),""))</f>
        <v/>
      </c>
      <c r="AK132" s="109">
        <f>IF(AC132="Ouvert",COUNTIF($AC$6:AC132,"Ouvert"),"")</f>
        <v/>
      </c>
    </row>
    <row r="133" ht="19" customHeight="1">
      <c r="A133" s="104">
        <f>IF(B133="","",ROW()-5)</f>
        <v/>
      </c>
      <c r="B133" s="61" t="n"/>
      <c r="C133" s="61" t="n"/>
      <c r="D133" s="105" t="n"/>
      <c r="E133" s="49" t="n"/>
      <c r="F133" s="105" t="n"/>
      <c r="G133" s="49" t="n"/>
      <c r="H133" s="106" t="n"/>
      <c r="I133" s="107" t="n"/>
      <c r="J133" s="107" t="n"/>
      <c r="K133" s="107" t="n"/>
      <c r="L133" s="107" t="n"/>
      <c r="M133" s="106" t="n"/>
      <c r="N133" s="62" t="n"/>
      <c r="O133" s="49" t="n"/>
      <c r="P133" s="49" t="n"/>
      <c r="Q133" s="105" t="n"/>
      <c r="R133" s="105" t="n"/>
      <c r="S133" s="105" t="n"/>
      <c r="T133" s="105" t="n"/>
      <c r="U133" s="108">
        <f>IF(OR(H133="",I133="",I133=0),"",H133/I133)</f>
        <v/>
      </c>
      <c r="V133" s="109">
        <f>IF(OR(B133="",C133="",L133=""),"",MAX(0,C133-B133))</f>
        <v/>
      </c>
      <c r="W133" s="110">
        <f>IF(OR(L133="",U133=""),"",IF(E133="Short",(I133-L133)*U133,(L133-I133)*U133))</f>
        <v/>
      </c>
      <c r="X133" s="110">
        <f>IF(W133="","",W133-IF(M133="",0,M133))</f>
        <v/>
      </c>
      <c r="Y133" s="111">
        <f>IF(OR(X133="",H133="",H133=0),"",X133/H133)</f>
        <v/>
      </c>
      <c r="Z133" s="112">
        <f>IF(OR(I133="",J133="",U133=""),"",ABS(I133-J133)*U133)</f>
        <v/>
      </c>
      <c r="AA133" s="113">
        <f>IF(OR(X133="",Z133="",Z133=0),"",X133/Z133)</f>
        <v/>
      </c>
      <c r="AB133" s="114">
        <f>IF(OR(I133="",J133="",K133="",I133=J133),"",ABS(K133-I133)/ABS(I133-J133))</f>
        <v/>
      </c>
      <c r="AC133" s="51">
        <f>IF(OR(B133="",D133="",H133="",I133=""),"",IF(L133="","Ouvert",IF(X133&gt;0,"Gagné",IF(X133&lt;0,"Perdu","Neutre"))))</f>
        <v/>
      </c>
      <c r="AD133" s="115">
        <f>IF(X133="","",IF(C133="",B133,C133))</f>
        <v/>
      </c>
      <c r="AE133" s="109">
        <f>IF(B133="","",WEEKDAY(B133,2))</f>
        <v/>
      </c>
      <c r="AF133" s="112">
        <f>IF(X133="","",'Paramètres'!$C$9+SUM($X$6:X133))</f>
        <v/>
      </c>
      <c r="AG133" s="112">
        <f>IF(AF133="","",MAX('Paramètres'!$C$9,MAX($AF$6:AF133)))</f>
        <v/>
      </c>
      <c r="AH133" s="116">
        <f>IF(AF133="","",AF133/AG133-1)</f>
        <v/>
      </c>
      <c r="AI133" s="109">
        <f>IF(X133="","",IF(X133&gt;0,IF(N(AI132)&gt;0,N(AI132)+1,1),IF(X133&lt;0,IF(N(AI132)&lt;0,N(AI132)-1,-1),0)))</f>
        <v/>
      </c>
      <c r="AJ133" s="116">
        <f>IF(Z133="","",IFERROR(Z133/('Paramètres'!$C$9+SUM($X$5:X132)),""))</f>
        <v/>
      </c>
      <c r="AK133" s="109">
        <f>IF(AC133="Ouvert",COUNTIF($AC$6:AC133,"Ouvert"),"")</f>
        <v/>
      </c>
    </row>
    <row r="134" ht="19" customHeight="1">
      <c r="A134" s="104">
        <f>IF(B134="","",ROW()-5)</f>
        <v/>
      </c>
      <c r="B134" s="61" t="n"/>
      <c r="C134" s="61" t="n"/>
      <c r="D134" s="105" t="n"/>
      <c r="E134" s="49" t="n"/>
      <c r="F134" s="105" t="n"/>
      <c r="G134" s="49" t="n"/>
      <c r="H134" s="106" t="n"/>
      <c r="I134" s="107" t="n"/>
      <c r="J134" s="107" t="n"/>
      <c r="K134" s="107" t="n"/>
      <c r="L134" s="107" t="n"/>
      <c r="M134" s="106" t="n"/>
      <c r="N134" s="62" t="n"/>
      <c r="O134" s="49" t="n"/>
      <c r="P134" s="49" t="n"/>
      <c r="Q134" s="105" t="n"/>
      <c r="R134" s="105" t="n"/>
      <c r="S134" s="105" t="n"/>
      <c r="T134" s="105" t="n"/>
      <c r="U134" s="108">
        <f>IF(OR(H134="",I134="",I134=0),"",H134/I134)</f>
        <v/>
      </c>
      <c r="V134" s="109">
        <f>IF(OR(B134="",C134="",L134=""),"",MAX(0,C134-B134))</f>
        <v/>
      </c>
      <c r="W134" s="110">
        <f>IF(OR(L134="",U134=""),"",IF(E134="Short",(I134-L134)*U134,(L134-I134)*U134))</f>
        <v/>
      </c>
      <c r="X134" s="110">
        <f>IF(W134="","",W134-IF(M134="",0,M134))</f>
        <v/>
      </c>
      <c r="Y134" s="111">
        <f>IF(OR(X134="",H134="",H134=0),"",X134/H134)</f>
        <v/>
      </c>
      <c r="Z134" s="112">
        <f>IF(OR(I134="",J134="",U134=""),"",ABS(I134-J134)*U134)</f>
        <v/>
      </c>
      <c r="AA134" s="113">
        <f>IF(OR(X134="",Z134="",Z134=0),"",X134/Z134)</f>
        <v/>
      </c>
      <c r="AB134" s="114">
        <f>IF(OR(I134="",J134="",K134="",I134=J134),"",ABS(K134-I134)/ABS(I134-J134))</f>
        <v/>
      </c>
      <c r="AC134" s="51">
        <f>IF(OR(B134="",D134="",H134="",I134=""),"",IF(L134="","Ouvert",IF(X134&gt;0,"Gagné",IF(X134&lt;0,"Perdu","Neutre"))))</f>
        <v/>
      </c>
      <c r="AD134" s="115">
        <f>IF(X134="","",IF(C134="",B134,C134))</f>
        <v/>
      </c>
      <c r="AE134" s="109">
        <f>IF(B134="","",WEEKDAY(B134,2))</f>
        <v/>
      </c>
      <c r="AF134" s="112">
        <f>IF(X134="","",'Paramètres'!$C$9+SUM($X$6:X134))</f>
        <v/>
      </c>
      <c r="AG134" s="112">
        <f>IF(AF134="","",MAX('Paramètres'!$C$9,MAX($AF$6:AF134)))</f>
        <v/>
      </c>
      <c r="AH134" s="116">
        <f>IF(AF134="","",AF134/AG134-1)</f>
        <v/>
      </c>
      <c r="AI134" s="109">
        <f>IF(X134="","",IF(X134&gt;0,IF(N(AI133)&gt;0,N(AI133)+1,1),IF(X134&lt;0,IF(N(AI133)&lt;0,N(AI133)-1,-1),0)))</f>
        <v/>
      </c>
      <c r="AJ134" s="116">
        <f>IF(Z134="","",IFERROR(Z134/('Paramètres'!$C$9+SUM($X$5:X133)),""))</f>
        <v/>
      </c>
      <c r="AK134" s="109">
        <f>IF(AC134="Ouvert",COUNTIF($AC$6:AC134,"Ouvert"),"")</f>
        <v/>
      </c>
    </row>
    <row r="135" ht="19" customHeight="1">
      <c r="A135" s="104">
        <f>IF(B135="","",ROW()-5)</f>
        <v/>
      </c>
      <c r="B135" s="61" t="n"/>
      <c r="C135" s="61" t="n"/>
      <c r="D135" s="105" t="n"/>
      <c r="E135" s="49" t="n"/>
      <c r="F135" s="105" t="n"/>
      <c r="G135" s="49" t="n"/>
      <c r="H135" s="106" t="n"/>
      <c r="I135" s="107" t="n"/>
      <c r="J135" s="107" t="n"/>
      <c r="K135" s="107" t="n"/>
      <c r="L135" s="107" t="n"/>
      <c r="M135" s="106" t="n"/>
      <c r="N135" s="62" t="n"/>
      <c r="O135" s="49" t="n"/>
      <c r="P135" s="49" t="n"/>
      <c r="Q135" s="105" t="n"/>
      <c r="R135" s="105" t="n"/>
      <c r="S135" s="105" t="n"/>
      <c r="T135" s="105" t="n"/>
      <c r="U135" s="108">
        <f>IF(OR(H135="",I135="",I135=0),"",H135/I135)</f>
        <v/>
      </c>
      <c r="V135" s="109">
        <f>IF(OR(B135="",C135="",L135=""),"",MAX(0,C135-B135))</f>
        <v/>
      </c>
      <c r="W135" s="110">
        <f>IF(OR(L135="",U135=""),"",IF(E135="Short",(I135-L135)*U135,(L135-I135)*U135))</f>
        <v/>
      </c>
      <c r="X135" s="110">
        <f>IF(W135="","",W135-IF(M135="",0,M135))</f>
        <v/>
      </c>
      <c r="Y135" s="111">
        <f>IF(OR(X135="",H135="",H135=0),"",X135/H135)</f>
        <v/>
      </c>
      <c r="Z135" s="112">
        <f>IF(OR(I135="",J135="",U135=""),"",ABS(I135-J135)*U135)</f>
        <v/>
      </c>
      <c r="AA135" s="113">
        <f>IF(OR(X135="",Z135="",Z135=0),"",X135/Z135)</f>
        <v/>
      </c>
      <c r="AB135" s="114">
        <f>IF(OR(I135="",J135="",K135="",I135=J135),"",ABS(K135-I135)/ABS(I135-J135))</f>
        <v/>
      </c>
      <c r="AC135" s="51">
        <f>IF(OR(B135="",D135="",H135="",I135=""),"",IF(L135="","Ouvert",IF(X135&gt;0,"Gagné",IF(X135&lt;0,"Perdu","Neutre"))))</f>
        <v/>
      </c>
      <c r="AD135" s="115">
        <f>IF(X135="","",IF(C135="",B135,C135))</f>
        <v/>
      </c>
      <c r="AE135" s="109">
        <f>IF(B135="","",WEEKDAY(B135,2))</f>
        <v/>
      </c>
      <c r="AF135" s="112">
        <f>IF(X135="","",'Paramètres'!$C$9+SUM($X$6:X135))</f>
        <v/>
      </c>
      <c r="AG135" s="112">
        <f>IF(AF135="","",MAX('Paramètres'!$C$9,MAX($AF$6:AF135)))</f>
        <v/>
      </c>
      <c r="AH135" s="116">
        <f>IF(AF135="","",AF135/AG135-1)</f>
        <v/>
      </c>
      <c r="AI135" s="109">
        <f>IF(X135="","",IF(X135&gt;0,IF(N(AI134)&gt;0,N(AI134)+1,1),IF(X135&lt;0,IF(N(AI134)&lt;0,N(AI134)-1,-1),0)))</f>
        <v/>
      </c>
      <c r="AJ135" s="116">
        <f>IF(Z135="","",IFERROR(Z135/('Paramètres'!$C$9+SUM($X$5:X134)),""))</f>
        <v/>
      </c>
      <c r="AK135" s="109">
        <f>IF(AC135="Ouvert",COUNTIF($AC$6:AC135,"Ouvert"),"")</f>
        <v/>
      </c>
    </row>
    <row r="136" ht="19" customHeight="1">
      <c r="A136" s="104">
        <f>IF(B136="","",ROW()-5)</f>
        <v/>
      </c>
      <c r="B136" s="61" t="n"/>
      <c r="C136" s="61" t="n"/>
      <c r="D136" s="105" t="n"/>
      <c r="E136" s="49" t="n"/>
      <c r="F136" s="105" t="n"/>
      <c r="G136" s="49" t="n"/>
      <c r="H136" s="106" t="n"/>
      <c r="I136" s="107" t="n"/>
      <c r="J136" s="107" t="n"/>
      <c r="K136" s="107" t="n"/>
      <c r="L136" s="107" t="n"/>
      <c r="M136" s="106" t="n"/>
      <c r="N136" s="62" t="n"/>
      <c r="O136" s="49" t="n"/>
      <c r="P136" s="49" t="n"/>
      <c r="Q136" s="105" t="n"/>
      <c r="R136" s="105" t="n"/>
      <c r="S136" s="105" t="n"/>
      <c r="T136" s="105" t="n"/>
      <c r="U136" s="108">
        <f>IF(OR(H136="",I136="",I136=0),"",H136/I136)</f>
        <v/>
      </c>
      <c r="V136" s="109">
        <f>IF(OR(B136="",C136="",L136=""),"",MAX(0,C136-B136))</f>
        <v/>
      </c>
      <c r="W136" s="110">
        <f>IF(OR(L136="",U136=""),"",IF(E136="Short",(I136-L136)*U136,(L136-I136)*U136))</f>
        <v/>
      </c>
      <c r="X136" s="110">
        <f>IF(W136="","",W136-IF(M136="",0,M136))</f>
        <v/>
      </c>
      <c r="Y136" s="111">
        <f>IF(OR(X136="",H136="",H136=0),"",X136/H136)</f>
        <v/>
      </c>
      <c r="Z136" s="112">
        <f>IF(OR(I136="",J136="",U136=""),"",ABS(I136-J136)*U136)</f>
        <v/>
      </c>
      <c r="AA136" s="113">
        <f>IF(OR(X136="",Z136="",Z136=0),"",X136/Z136)</f>
        <v/>
      </c>
      <c r="AB136" s="114">
        <f>IF(OR(I136="",J136="",K136="",I136=J136),"",ABS(K136-I136)/ABS(I136-J136))</f>
        <v/>
      </c>
      <c r="AC136" s="51">
        <f>IF(OR(B136="",D136="",H136="",I136=""),"",IF(L136="","Ouvert",IF(X136&gt;0,"Gagné",IF(X136&lt;0,"Perdu","Neutre"))))</f>
        <v/>
      </c>
      <c r="AD136" s="115">
        <f>IF(X136="","",IF(C136="",B136,C136))</f>
        <v/>
      </c>
      <c r="AE136" s="109">
        <f>IF(B136="","",WEEKDAY(B136,2))</f>
        <v/>
      </c>
      <c r="AF136" s="112">
        <f>IF(X136="","",'Paramètres'!$C$9+SUM($X$6:X136))</f>
        <v/>
      </c>
      <c r="AG136" s="112">
        <f>IF(AF136="","",MAX('Paramètres'!$C$9,MAX($AF$6:AF136)))</f>
        <v/>
      </c>
      <c r="AH136" s="116">
        <f>IF(AF136="","",AF136/AG136-1)</f>
        <v/>
      </c>
      <c r="AI136" s="109">
        <f>IF(X136="","",IF(X136&gt;0,IF(N(AI135)&gt;0,N(AI135)+1,1),IF(X136&lt;0,IF(N(AI135)&lt;0,N(AI135)-1,-1),0)))</f>
        <v/>
      </c>
      <c r="AJ136" s="116">
        <f>IF(Z136="","",IFERROR(Z136/('Paramètres'!$C$9+SUM($X$5:X135)),""))</f>
        <v/>
      </c>
      <c r="AK136" s="109">
        <f>IF(AC136="Ouvert",COUNTIF($AC$6:AC136,"Ouvert"),"")</f>
        <v/>
      </c>
    </row>
    <row r="137" ht="19" customHeight="1">
      <c r="A137" s="104">
        <f>IF(B137="","",ROW()-5)</f>
        <v/>
      </c>
      <c r="B137" s="61" t="n"/>
      <c r="C137" s="61" t="n"/>
      <c r="D137" s="105" t="n"/>
      <c r="E137" s="49" t="n"/>
      <c r="F137" s="105" t="n"/>
      <c r="G137" s="49" t="n"/>
      <c r="H137" s="106" t="n"/>
      <c r="I137" s="107" t="n"/>
      <c r="J137" s="107" t="n"/>
      <c r="K137" s="107" t="n"/>
      <c r="L137" s="107" t="n"/>
      <c r="M137" s="106" t="n"/>
      <c r="N137" s="62" t="n"/>
      <c r="O137" s="49" t="n"/>
      <c r="P137" s="49" t="n"/>
      <c r="Q137" s="105" t="n"/>
      <c r="R137" s="105" t="n"/>
      <c r="S137" s="105" t="n"/>
      <c r="T137" s="105" t="n"/>
      <c r="U137" s="108">
        <f>IF(OR(H137="",I137="",I137=0),"",H137/I137)</f>
        <v/>
      </c>
      <c r="V137" s="109">
        <f>IF(OR(B137="",C137="",L137=""),"",MAX(0,C137-B137))</f>
        <v/>
      </c>
      <c r="W137" s="110">
        <f>IF(OR(L137="",U137=""),"",IF(E137="Short",(I137-L137)*U137,(L137-I137)*U137))</f>
        <v/>
      </c>
      <c r="X137" s="110">
        <f>IF(W137="","",W137-IF(M137="",0,M137))</f>
        <v/>
      </c>
      <c r="Y137" s="111">
        <f>IF(OR(X137="",H137="",H137=0),"",X137/H137)</f>
        <v/>
      </c>
      <c r="Z137" s="112">
        <f>IF(OR(I137="",J137="",U137=""),"",ABS(I137-J137)*U137)</f>
        <v/>
      </c>
      <c r="AA137" s="113">
        <f>IF(OR(X137="",Z137="",Z137=0),"",X137/Z137)</f>
        <v/>
      </c>
      <c r="AB137" s="114">
        <f>IF(OR(I137="",J137="",K137="",I137=J137),"",ABS(K137-I137)/ABS(I137-J137))</f>
        <v/>
      </c>
      <c r="AC137" s="51">
        <f>IF(OR(B137="",D137="",H137="",I137=""),"",IF(L137="","Ouvert",IF(X137&gt;0,"Gagné",IF(X137&lt;0,"Perdu","Neutre"))))</f>
        <v/>
      </c>
      <c r="AD137" s="115">
        <f>IF(X137="","",IF(C137="",B137,C137))</f>
        <v/>
      </c>
      <c r="AE137" s="109">
        <f>IF(B137="","",WEEKDAY(B137,2))</f>
        <v/>
      </c>
      <c r="AF137" s="112">
        <f>IF(X137="","",'Paramètres'!$C$9+SUM($X$6:X137))</f>
        <v/>
      </c>
      <c r="AG137" s="112">
        <f>IF(AF137="","",MAX('Paramètres'!$C$9,MAX($AF$6:AF137)))</f>
        <v/>
      </c>
      <c r="AH137" s="116">
        <f>IF(AF137="","",AF137/AG137-1)</f>
        <v/>
      </c>
      <c r="AI137" s="109">
        <f>IF(X137="","",IF(X137&gt;0,IF(N(AI136)&gt;0,N(AI136)+1,1),IF(X137&lt;0,IF(N(AI136)&lt;0,N(AI136)-1,-1),0)))</f>
        <v/>
      </c>
      <c r="AJ137" s="116">
        <f>IF(Z137="","",IFERROR(Z137/('Paramètres'!$C$9+SUM($X$5:X136)),""))</f>
        <v/>
      </c>
      <c r="AK137" s="109">
        <f>IF(AC137="Ouvert",COUNTIF($AC$6:AC137,"Ouvert"),"")</f>
        <v/>
      </c>
    </row>
    <row r="138" ht="19" customHeight="1">
      <c r="A138" s="104">
        <f>IF(B138="","",ROW()-5)</f>
        <v/>
      </c>
      <c r="B138" s="61" t="n"/>
      <c r="C138" s="61" t="n"/>
      <c r="D138" s="105" t="n"/>
      <c r="E138" s="49" t="n"/>
      <c r="F138" s="105" t="n"/>
      <c r="G138" s="49" t="n"/>
      <c r="H138" s="106" t="n"/>
      <c r="I138" s="107" t="n"/>
      <c r="J138" s="107" t="n"/>
      <c r="K138" s="107" t="n"/>
      <c r="L138" s="107" t="n"/>
      <c r="M138" s="106" t="n"/>
      <c r="N138" s="62" t="n"/>
      <c r="O138" s="49" t="n"/>
      <c r="P138" s="49" t="n"/>
      <c r="Q138" s="105" t="n"/>
      <c r="R138" s="105" t="n"/>
      <c r="S138" s="105" t="n"/>
      <c r="T138" s="105" t="n"/>
      <c r="U138" s="108">
        <f>IF(OR(H138="",I138="",I138=0),"",H138/I138)</f>
        <v/>
      </c>
      <c r="V138" s="109">
        <f>IF(OR(B138="",C138="",L138=""),"",MAX(0,C138-B138))</f>
        <v/>
      </c>
      <c r="W138" s="110">
        <f>IF(OR(L138="",U138=""),"",IF(E138="Short",(I138-L138)*U138,(L138-I138)*U138))</f>
        <v/>
      </c>
      <c r="X138" s="110">
        <f>IF(W138="","",W138-IF(M138="",0,M138))</f>
        <v/>
      </c>
      <c r="Y138" s="111">
        <f>IF(OR(X138="",H138="",H138=0),"",X138/H138)</f>
        <v/>
      </c>
      <c r="Z138" s="112">
        <f>IF(OR(I138="",J138="",U138=""),"",ABS(I138-J138)*U138)</f>
        <v/>
      </c>
      <c r="AA138" s="113">
        <f>IF(OR(X138="",Z138="",Z138=0),"",X138/Z138)</f>
        <v/>
      </c>
      <c r="AB138" s="114">
        <f>IF(OR(I138="",J138="",K138="",I138=J138),"",ABS(K138-I138)/ABS(I138-J138))</f>
        <v/>
      </c>
      <c r="AC138" s="51">
        <f>IF(OR(B138="",D138="",H138="",I138=""),"",IF(L138="","Ouvert",IF(X138&gt;0,"Gagné",IF(X138&lt;0,"Perdu","Neutre"))))</f>
        <v/>
      </c>
      <c r="AD138" s="115">
        <f>IF(X138="","",IF(C138="",B138,C138))</f>
        <v/>
      </c>
      <c r="AE138" s="109">
        <f>IF(B138="","",WEEKDAY(B138,2))</f>
        <v/>
      </c>
      <c r="AF138" s="112">
        <f>IF(X138="","",'Paramètres'!$C$9+SUM($X$6:X138))</f>
        <v/>
      </c>
      <c r="AG138" s="112">
        <f>IF(AF138="","",MAX('Paramètres'!$C$9,MAX($AF$6:AF138)))</f>
        <v/>
      </c>
      <c r="AH138" s="116">
        <f>IF(AF138="","",AF138/AG138-1)</f>
        <v/>
      </c>
      <c r="AI138" s="109">
        <f>IF(X138="","",IF(X138&gt;0,IF(N(AI137)&gt;0,N(AI137)+1,1),IF(X138&lt;0,IF(N(AI137)&lt;0,N(AI137)-1,-1),0)))</f>
        <v/>
      </c>
      <c r="AJ138" s="116">
        <f>IF(Z138="","",IFERROR(Z138/('Paramètres'!$C$9+SUM($X$5:X137)),""))</f>
        <v/>
      </c>
      <c r="AK138" s="109">
        <f>IF(AC138="Ouvert",COUNTIF($AC$6:AC138,"Ouvert"),"")</f>
        <v/>
      </c>
    </row>
    <row r="139" ht="19" customHeight="1">
      <c r="A139" s="104">
        <f>IF(B139="","",ROW()-5)</f>
        <v/>
      </c>
      <c r="B139" s="61" t="n"/>
      <c r="C139" s="61" t="n"/>
      <c r="D139" s="105" t="n"/>
      <c r="E139" s="49" t="n"/>
      <c r="F139" s="105" t="n"/>
      <c r="G139" s="49" t="n"/>
      <c r="H139" s="106" t="n"/>
      <c r="I139" s="107" t="n"/>
      <c r="J139" s="107" t="n"/>
      <c r="K139" s="107" t="n"/>
      <c r="L139" s="107" t="n"/>
      <c r="M139" s="106" t="n"/>
      <c r="N139" s="62" t="n"/>
      <c r="O139" s="49" t="n"/>
      <c r="P139" s="49" t="n"/>
      <c r="Q139" s="105" t="n"/>
      <c r="R139" s="105" t="n"/>
      <c r="S139" s="105" t="n"/>
      <c r="T139" s="105" t="n"/>
      <c r="U139" s="108">
        <f>IF(OR(H139="",I139="",I139=0),"",H139/I139)</f>
        <v/>
      </c>
      <c r="V139" s="109">
        <f>IF(OR(B139="",C139="",L139=""),"",MAX(0,C139-B139))</f>
        <v/>
      </c>
      <c r="W139" s="110">
        <f>IF(OR(L139="",U139=""),"",IF(E139="Short",(I139-L139)*U139,(L139-I139)*U139))</f>
        <v/>
      </c>
      <c r="X139" s="110">
        <f>IF(W139="","",W139-IF(M139="",0,M139))</f>
        <v/>
      </c>
      <c r="Y139" s="111">
        <f>IF(OR(X139="",H139="",H139=0),"",X139/H139)</f>
        <v/>
      </c>
      <c r="Z139" s="112">
        <f>IF(OR(I139="",J139="",U139=""),"",ABS(I139-J139)*U139)</f>
        <v/>
      </c>
      <c r="AA139" s="113">
        <f>IF(OR(X139="",Z139="",Z139=0),"",X139/Z139)</f>
        <v/>
      </c>
      <c r="AB139" s="114">
        <f>IF(OR(I139="",J139="",K139="",I139=J139),"",ABS(K139-I139)/ABS(I139-J139))</f>
        <v/>
      </c>
      <c r="AC139" s="51">
        <f>IF(OR(B139="",D139="",H139="",I139=""),"",IF(L139="","Ouvert",IF(X139&gt;0,"Gagné",IF(X139&lt;0,"Perdu","Neutre"))))</f>
        <v/>
      </c>
      <c r="AD139" s="115">
        <f>IF(X139="","",IF(C139="",B139,C139))</f>
        <v/>
      </c>
      <c r="AE139" s="109">
        <f>IF(B139="","",WEEKDAY(B139,2))</f>
        <v/>
      </c>
      <c r="AF139" s="112">
        <f>IF(X139="","",'Paramètres'!$C$9+SUM($X$6:X139))</f>
        <v/>
      </c>
      <c r="AG139" s="112">
        <f>IF(AF139="","",MAX('Paramètres'!$C$9,MAX($AF$6:AF139)))</f>
        <v/>
      </c>
      <c r="AH139" s="116">
        <f>IF(AF139="","",AF139/AG139-1)</f>
        <v/>
      </c>
      <c r="AI139" s="109">
        <f>IF(X139="","",IF(X139&gt;0,IF(N(AI138)&gt;0,N(AI138)+1,1),IF(X139&lt;0,IF(N(AI138)&lt;0,N(AI138)-1,-1),0)))</f>
        <v/>
      </c>
      <c r="AJ139" s="116">
        <f>IF(Z139="","",IFERROR(Z139/('Paramètres'!$C$9+SUM($X$5:X138)),""))</f>
        <v/>
      </c>
      <c r="AK139" s="109">
        <f>IF(AC139="Ouvert",COUNTIF($AC$6:AC139,"Ouvert"),"")</f>
        <v/>
      </c>
    </row>
    <row r="140" ht="19" customHeight="1">
      <c r="A140" s="104">
        <f>IF(B140="","",ROW()-5)</f>
        <v/>
      </c>
      <c r="B140" s="61" t="n"/>
      <c r="C140" s="61" t="n"/>
      <c r="D140" s="105" t="n"/>
      <c r="E140" s="49" t="n"/>
      <c r="F140" s="105" t="n"/>
      <c r="G140" s="49" t="n"/>
      <c r="H140" s="106" t="n"/>
      <c r="I140" s="107" t="n"/>
      <c r="J140" s="107" t="n"/>
      <c r="K140" s="107" t="n"/>
      <c r="L140" s="107" t="n"/>
      <c r="M140" s="106" t="n"/>
      <c r="N140" s="62" t="n"/>
      <c r="O140" s="49" t="n"/>
      <c r="P140" s="49" t="n"/>
      <c r="Q140" s="105" t="n"/>
      <c r="R140" s="105" t="n"/>
      <c r="S140" s="105" t="n"/>
      <c r="T140" s="105" t="n"/>
      <c r="U140" s="108">
        <f>IF(OR(H140="",I140="",I140=0),"",H140/I140)</f>
        <v/>
      </c>
      <c r="V140" s="109">
        <f>IF(OR(B140="",C140="",L140=""),"",MAX(0,C140-B140))</f>
        <v/>
      </c>
      <c r="W140" s="110">
        <f>IF(OR(L140="",U140=""),"",IF(E140="Short",(I140-L140)*U140,(L140-I140)*U140))</f>
        <v/>
      </c>
      <c r="X140" s="110">
        <f>IF(W140="","",W140-IF(M140="",0,M140))</f>
        <v/>
      </c>
      <c r="Y140" s="111">
        <f>IF(OR(X140="",H140="",H140=0),"",X140/H140)</f>
        <v/>
      </c>
      <c r="Z140" s="112">
        <f>IF(OR(I140="",J140="",U140=""),"",ABS(I140-J140)*U140)</f>
        <v/>
      </c>
      <c r="AA140" s="113">
        <f>IF(OR(X140="",Z140="",Z140=0),"",X140/Z140)</f>
        <v/>
      </c>
      <c r="AB140" s="114">
        <f>IF(OR(I140="",J140="",K140="",I140=J140),"",ABS(K140-I140)/ABS(I140-J140))</f>
        <v/>
      </c>
      <c r="AC140" s="51">
        <f>IF(OR(B140="",D140="",H140="",I140=""),"",IF(L140="","Ouvert",IF(X140&gt;0,"Gagné",IF(X140&lt;0,"Perdu","Neutre"))))</f>
        <v/>
      </c>
      <c r="AD140" s="115">
        <f>IF(X140="","",IF(C140="",B140,C140))</f>
        <v/>
      </c>
      <c r="AE140" s="109">
        <f>IF(B140="","",WEEKDAY(B140,2))</f>
        <v/>
      </c>
      <c r="AF140" s="112">
        <f>IF(X140="","",'Paramètres'!$C$9+SUM($X$6:X140))</f>
        <v/>
      </c>
      <c r="AG140" s="112">
        <f>IF(AF140="","",MAX('Paramètres'!$C$9,MAX($AF$6:AF140)))</f>
        <v/>
      </c>
      <c r="AH140" s="116">
        <f>IF(AF140="","",AF140/AG140-1)</f>
        <v/>
      </c>
      <c r="AI140" s="109">
        <f>IF(X140="","",IF(X140&gt;0,IF(N(AI139)&gt;0,N(AI139)+1,1),IF(X140&lt;0,IF(N(AI139)&lt;0,N(AI139)-1,-1),0)))</f>
        <v/>
      </c>
      <c r="AJ140" s="116">
        <f>IF(Z140="","",IFERROR(Z140/('Paramètres'!$C$9+SUM($X$5:X139)),""))</f>
        <v/>
      </c>
      <c r="AK140" s="109">
        <f>IF(AC140="Ouvert",COUNTIF($AC$6:AC140,"Ouvert"),"")</f>
        <v/>
      </c>
    </row>
    <row r="141" ht="19" customHeight="1">
      <c r="A141" s="104">
        <f>IF(B141="","",ROW()-5)</f>
        <v/>
      </c>
      <c r="B141" s="61" t="n"/>
      <c r="C141" s="61" t="n"/>
      <c r="D141" s="105" t="n"/>
      <c r="E141" s="49" t="n"/>
      <c r="F141" s="105" t="n"/>
      <c r="G141" s="49" t="n"/>
      <c r="H141" s="106" t="n"/>
      <c r="I141" s="107" t="n"/>
      <c r="J141" s="107" t="n"/>
      <c r="K141" s="107" t="n"/>
      <c r="L141" s="107" t="n"/>
      <c r="M141" s="106" t="n"/>
      <c r="N141" s="62" t="n"/>
      <c r="O141" s="49" t="n"/>
      <c r="P141" s="49" t="n"/>
      <c r="Q141" s="105" t="n"/>
      <c r="R141" s="105" t="n"/>
      <c r="S141" s="105" t="n"/>
      <c r="T141" s="105" t="n"/>
      <c r="U141" s="108">
        <f>IF(OR(H141="",I141="",I141=0),"",H141/I141)</f>
        <v/>
      </c>
      <c r="V141" s="109">
        <f>IF(OR(B141="",C141="",L141=""),"",MAX(0,C141-B141))</f>
        <v/>
      </c>
      <c r="W141" s="110">
        <f>IF(OR(L141="",U141=""),"",IF(E141="Short",(I141-L141)*U141,(L141-I141)*U141))</f>
        <v/>
      </c>
      <c r="X141" s="110">
        <f>IF(W141="","",W141-IF(M141="",0,M141))</f>
        <v/>
      </c>
      <c r="Y141" s="111">
        <f>IF(OR(X141="",H141="",H141=0),"",X141/H141)</f>
        <v/>
      </c>
      <c r="Z141" s="112">
        <f>IF(OR(I141="",J141="",U141=""),"",ABS(I141-J141)*U141)</f>
        <v/>
      </c>
      <c r="AA141" s="113">
        <f>IF(OR(X141="",Z141="",Z141=0),"",X141/Z141)</f>
        <v/>
      </c>
      <c r="AB141" s="114">
        <f>IF(OR(I141="",J141="",K141="",I141=J141),"",ABS(K141-I141)/ABS(I141-J141))</f>
        <v/>
      </c>
      <c r="AC141" s="51">
        <f>IF(OR(B141="",D141="",H141="",I141=""),"",IF(L141="","Ouvert",IF(X141&gt;0,"Gagné",IF(X141&lt;0,"Perdu","Neutre"))))</f>
        <v/>
      </c>
      <c r="AD141" s="115">
        <f>IF(X141="","",IF(C141="",B141,C141))</f>
        <v/>
      </c>
      <c r="AE141" s="109">
        <f>IF(B141="","",WEEKDAY(B141,2))</f>
        <v/>
      </c>
      <c r="AF141" s="112">
        <f>IF(X141="","",'Paramètres'!$C$9+SUM($X$6:X141))</f>
        <v/>
      </c>
      <c r="AG141" s="112">
        <f>IF(AF141="","",MAX('Paramètres'!$C$9,MAX($AF$6:AF141)))</f>
        <v/>
      </c>
      <c r="AH141" s="116">
        <f>IF(AF141="","",AF141/AG141-1)</f>
        <v/>
      </c>
      <c r="AI141" s="109">
        <f>IF(X141="","",IF(X141&gt;0,IF(N(AI140)&gt;0,N(AI140)+1,1),IF(X141&lt;0,IF(N(AI140)&lt;0,N(AI140)-1,-1),0)))</f>
        <v/>
      </c>
      <c r="AJ141" s="116">
        <f>IF(Z141="","",IFERROR(Z141/('Paramètres'!$C$9+SUM($X$5:X140)),""))</f>
        <v/>
      </c>
      <c r="AK141" s="109">
        <f>IF(AC141="Ouvert",COUNTIF($AC$6:AC141,"Ouvert"),"")</f>
        <v/>
      </c>
    </row>
    <row r="142" ht="19" customHeight="1">
      <c r="A142" s="104">
        <f>IF(B142="","",ROW()-5)</f>
        <v/>
      </c>
      <c r="B142" s="61" t="n"/>
      <c r="C142" s="61" t="n"/>
      <c r="D142" s="105" t="n"/>
      <c r="E142" s="49" t="n"/>
      <c r="F142" s="105" t="n"/>
      <c r="G142" s="49" t="n"/>
      <c r="H142" s="106" t="n"/>
      <c r="I142" s="107" t="n"/>
      <c r="J142" s="107" t="n"/>
      <c r="K142" s="107" t="n"/>
      <c r="L142" s="107" t="n"/>
      <c r="M142" s="106" t="n"/>
      <c r="N142" s="62" t="n"/>
      <c r="O142" s="49" t="n"/>
      <c r="P142" s="49" t="n"/>
      <c r="Q142" s="105" t="n"/>
      <c r="R142" s="105" t="n"/>
      <c r="S142" s="105" t="n"/>
      <c r="T142" s="105" t="n"/>
      <c r="U142" s="108">
        <f>IF(OR(H142="",I142="",I142=0),"",H142/I142)</f>
        <v/>
      </c>
      <c r="V142" s="109">
        <f>IF(OR(B142="",C142="",L142=""),"",MAX(0,C142-B142))</f>
        <v/>
      </c>
      <c r="W142" s="110">
        <f>IF(OR(L142="",U142=""),"",IF(E142="Short",(I142-L142)*U142,(L142-I142)*U142))</f>
        <v/>
      </c>
      <c r="X142" s="110">
        <f>IF(W142="","",W142-IF(M142="",0,M142))</f>
        <v/>
      </c>
      <c r="Y142" s="111">
        <f>IF(OR(X142="",H142="",H142=0),"",X142/H142)</f>
        <v/>
      </c>
      <c r="Z142" s="112">
        <f>IF(OR(I142="",J142="",U142=""),"",ABS(I142-J142)*U142)</f>
        <v/>
      </c>
      <c r="AA142" s="113">
        <f>IF(OR(X142="",Z142="",Z142=0),"",X142/Z142)</f>
        <v/>
      </c>
      <c r="AB142" s="114">
        <f>IF(OR(I142="",J142="",K142="",I142=J142),"",ABS(K142-I142)/ABS(I142-J142))</f>
        <v/>
      </c>
      <c r="AC142" s="51">
        <f>IF(OR(B142="",D142="",H142="",I142=""),"",IF(L142="","Ouvert",IF(X142&gt;0,"Gagné",IF(X142&lt;0,"Perdu","Neutre"))))</f>
        <v/>
      </c>
      <c r="AD142" s="115">
        <f>IF(X142="","",IF(C142="",B142,C142))</f>
        <v/>
      </c>
      <c r="AE142" s="109">
        <f>IF(B142="","",WEEKDAY(B142,2))</f>
        <v/>
      </c>
      <c r="AF142" s="112">
        <f>IF(X142="","",'Paramètres'!$C$9+SUM($X$6:X142))</f>
        <v/>
      </c>
      <c r="AG142" s="112">
        <f>IF(AF142="","",MAX('Paramètres'!$C$9,MAX($AF$6:AF142)))</f>
        <v/>
      </c>
      <c r="AH142" s="116">
        <f>IF(AF142="","",AF142/AG142-1)</f>
        <v/>
      </c>
      <c r="AI142" s="109">
        <f>IF(X142="","",IF(X142&gt;0,IF(N(AI141)&gt;0,N(AI141)+1,1),IF(X142&lt;0,IF(N(AI141)&lt;0,N(AI141)-1,-1),0)))</f>
        <v/>
      </c>
      <c r="AJ142" s="116">
        <f>IF(Z142="","",IFERROR(Z142/('Paramètres'!$C$9+SUM($X$5:X141)),""))</f>
        <v/>
      </c>
      <c r="AK142" s="109">
        <f>IF(AC142="Ouvert",COUNTIF($AC$6:AC142,"Ouvert"),"")</f>
        <v/>
      </c>
    </row>
    <row r="143" ht="19" customHeight="1">
      <c r="A143" s="104">
        <f>IF(B143="","",ROW()-5)</f>
        <v/>
      </c>
      <c r="B143" s="61" t="n"/>
      <c r="C143" s="61" t="n"/>
      <c r="D143" s="105" t="n"/>
      <c r="E143" s="49" t="n"/>
      <c r="F143" s="105" t="n"/>
      <c r="G143" s="49" t="n"/>
      <c r="H143" s="106" t="n"/>
      <c r="I143" s="107" t="n"/>
      <c r="J143" s="107" t="n"/>
      <c r="K143" s="107" t="n"/>
      <c r="L143" s="107" t="n"/>
      <c r="M143" s="106" t="n"/>
      <c r="N143" s="62" t="n"/>
      <c r="O143" s="49" t="n"/>
      <c r="P143" s="49" t="n"/>
      <c r="Q143" s="105" t="n"/>
      <c r="R143" s="105" t="n"/>
      <c r="S143" s="105" t="n"/>
      <c r="T143" s="105" t="n"/>
      <c r="U143" s="108">
        <f>IF(OR(H143="",I143="",I143=0),"",H143/I143)</f>
        <v/>
      </c>
      <c r="V143" s="109">
        <f>IF(OR(B143="",C143="",L143=""),"",MAX(0,C143-B143))</f>
        <v/>
      </c>
      <c r="W143" s="110">
        <f>IF(OR(L143="",U143=""),"",IF(E143="Short",(I143-L143)*U143,(L143-I143)*U143))</f>
        <v/>
      </c>
      <c r="X143" s="110">
        <f>IF(W143="","",W143-IF(M143="",0,M143))</f>
        <v/>
      </c>
      <c r="Y143" s="111">
        <f>IF(OR(X143="",H143="",H143=0),"",X143/H143)</f>
        <v/>
      </c>
      <c r="Z143" s="112">
        <f>IF(OR(I143="",J143="",U143=""),"",ABS(I143-J143)*U143)</f>
        <v/>
      </c>
      <c r="AA143" s="113">
        <f>IF(OR(X143="",Z143="",Z143=0),"",X143/Z143)</f>
        <v/>
      </c>
      <c r="AB143" s="114">
        <f>IF(OR(I143="",J143="",K143="",I143=J143),"",ABS(K143-I143)/ABS(I143-J143))</f>
        <v/>
      </c>
      <c r="AC143" s="51">
        <f>IF(OR(B143="",D143="",H143="",I143=""),"",IF(L143="","Ouvert",IF(X143&gt;0,"Gagné",IF(X143&lt;0,"Perdu","Neutre"))))</f>
        <v/>
      </c>
      <c r="AD143" s="115">
        <f>IF(X143="","",IF(C143="",B143,C143))</f>
        <v/>
      </c>
      <c r="AE143" s="109">
        <f>IF(B143="","",WEEKDAY(B143,2))</f>
        <v/>
      </c>
      <c r="AF143" s="112">
        <f>IF(X143="","",'Paramètres'!$C$9+SUM($X$6:X143))</f>
        <v/>
      </c>
      <c r="AG143" s="112">
        <f>IF(AF143="","",MAX('Paramètres'!$C$9,MAX($AF$6:AF143)))</f>
        <v/>
      </c>
      <c r="AH143" s="116">
        <f>IF(AF143="","",AF143/AG143-1)</f>
        <v/>
      </c>
      <c r="AI143" s="109">
        <f>IF(X143="","",IF(X143&gt;0,IF(N(AI142)&gt;0,N(AI142)+1,1),IF(X143&lt;0,IF(N(AI142)&lt;0,N(AI142)-1,-1),0)))</f>
        <v/>
      </c>
      <c r="AJ143" s="116">
        <f>IF(Z143="","",IFERROR(Z143/('Paramètres'!$C$9+SUM($X$5:X142)),""))</f>
        <v/>
      </c>
      <c r="AK143" s="109">
        <f>IF(AC143="Ouvert",COUNTIF($AC$6:AC143,"Ouvert"),"")</f>
        <v/>
      </c>
    </row>
    <row r="144" ht="19" customHeight="1">
      <c r="A144" s="104">
        <f>IF(B144="","",ROW()-5)</f>
        <v/>
      </c>
      <c r="B144" s="61" t="n"/>
      <c r="C144" s="61" t="n"/>
      <c r="D144" s="105" t="n"/>
      <c r="E144" s="49" t="n"/>
      <c r="F144" s="105" t="n"/>
      <c r="G144" s="49" t="n"/>
      <c r="H144" s="106" t="n"/>
      <c r="I144" s="107" t="n"/>
      <c r="J144" s="107" t="n"/>
      <c r="K144" s="107" t="n"/>
      <c r="L144" s="107" t="n"/>
      <c r="M144" s="106" t="n"/>
      <c r="N144" s="62" t="n"/>
      <c r="O144" s="49" t="n"/>
      <c r="P144" s="49" t="n"/>
      <c r="Q144" s="105" t="n"/>
      <c r="R144" s="105" t="n"/>
      <c r="S144" s="105" t="n"/>
      <c r="T144" s="105" t="n"/>
      <c r="U144" s="108">
        <f>IF(OR(H144="",I144="",I144=0),"",H144/I144)</f>
        <v/>
      </c>
      <c r="V144" s="109">
        <f>IF(OR(B144="",C144="",L144=""),"",MAX(0,C144-B144))</f>
        <v/>
      </c>
      <c r="W144" s="110">
        <f>IF(OR(L144="",U144=""),"",IF(E144="Short",(I144-L144)*U144,(L144-I144)*U144))</f>
        <v/>
      </c>
      <c r="X144" s="110">
        <f>IF(W144="","",W144-IF(M144="",0,M144))</f>
        <v/>
      </c>
      <c r="Y144" s="111">
        <f>IF(OR(X144="",H144="",H144=0),"",X144/H144)</f>
        <v/>
      </c>
      <c r="Z144" s="112">
        <f>IF(OR(I144="",J144="",U144=""),"",ABS(I144-J144)*U144)</f>
        <v/>
      </c>
      <c r="AA144" s="113">
        <f>IF(OR(X144="",Z144="",Z144=0),"",X144/Z144)</f>
        <v/>
      </c>
      <c r="AB144" s="114">
        <f>IF(OR(I144="",J144="",K144="",I144=J144),"",ABS(K144-I144)/ABS(I144-J144))</f>
        <v/>
      </c>
      <c r="AC144" s="51">
        <f>IF(OR(B144="",D144="",H144="",I144=""),"",IF(L144="","Ouvert",IF(X144&gt;0,"Gagné",IF(X144&lt;0,"Perdu","Neutre"))))</f>
        <v/>
      </c>
      <c r="AD144" s="115">
        <f>IF(X144="","",IF(C144="",B144,C144))</f>
        <v/>
      </c>
      <c r="AE144" s="109">
        <f>IF(B144="","",WEEKDAY(B144,2))</f>
        <v/>
      </c>
      <c r="AF144" s="112">
        <f>IF(X144="","",'Paramètres'!$C$9+SUM($X$6:X144))</f>
        <v/>
      </c>
      <c r="AG144" s="112">
        <f>IF(AF144="","",MAX('Paramètres'!$C$9,MAX($AF$6:AF144)))</f>
        <v/>
      </c>
      <c r="AH144" s="116">
        <f>IF(AF144="","",AF144/AG144-1)</f>
        <v/>
      </c>
      <c r="AI144" s="109">
        <f>IF(X144="","",IF(X144&gt;0,IF(N(AI143)&gt;0,N(AI143)+1,1),IF(X144&lt;0,IF(N(AI143)&lt;0,N(AI143)-1,-1),0)))</f>
        <v/>
      </c>
      <c r="AJ144" s="116">
        <f>IF(Z144="","",IFERROR(Z144/('Paramètres'!$C$9+SUM($X$5:X143)),""))</f>
        <v/>
      </c>
      <c r="AK144" s="109">
        <f>IF(AC144="Ouvert",COUNTIF($AC$6:AC144,"Ouvert"),"")</f>
        <v/>
      </c>
    </row>
    <row r="145" ht="19" customHeight="1">
      <c r="A145" s="104">
        <f>IF(B145="","",ROW()-5)</f>
        <v/>
      </c>
      <c r="B145" s="61" t="n"/>
      <c r="C145" s="61" t="n"/>
      <c r="D145" s="105" t="n"/>
      <c r="E145" s="49" t="n"/>
      <c r="F145" s="105" t="n"/>
      <c r="G145" s="49" t="n"/>
      <c r="H145" s="106" t="n"/>
      <c r="I145" s="107" t="n"/>
      <c r="J145" s="107" t="n"/>
      <c r="K145" s="107" t="n"/>
      <c r="L145" s="107" t="n"/>
      <c r="M145" s="106" t="n"/>
      <c r="N145" s="62" t="n"/>
      <c r="O145" s="49" t="n"/>
      <c r="P145" s="49" t="n"/>
      <c r="Q145" s="105" t="n"/>
      <c r="R145" s="105" t="n"/>
      <c r="S145" s="105" t="n"/>
      <c r="T145" s="105" t="n"/>
      <c r="U145" s="108">
        <f>IF(OR(H145="",I145="",I145=0),"",H145/I145)</f>
        <v/>
      </c>
      <c r="V145" s="109">
        <f>IF(OR(B145="",C145="",L145=""),"",MAX(0,C145-B145))</f>
        <v/>
      </c>
      <c r="W145" s="110">
        <f>IF(OR(L145="",U145=""),"",IF(E145="Short",(I145-L145)*U145,(L145-I145)*U145))</f>
        <v/>
      </c>
      <c r="X145" s="110">
        <f>IF(W145="","",W145-IF(M145="",0,M145))</f>
        <v/>
      </c>
      <c r="Y145" s="111">
        <f>IF(OR(X145="",H145="",H145=0),"",X145/H145)</f>
        <v/>
      </c>
      <c r="Z145" s="112">
        <f>IF(OR(I145="",J145="",U145=""),"",ABS(I145-J145)*U145)</f>
        <v/>
      </c>
      <c r="AA145" s="113">
        <f>IF(OR(X145="",Z145="",Z145=0),"",X145/Z145)</f>
        <v/>
      </c>
      <c r="AB145" s="114">
        <f>IF(OR(I145="",J145="",K145="",I145=J145),"",ABS(K145-I145)/ABS(I145-J145))</f>
        <v/>
      </c>
      <c r="AC145" s="51">
        <f>IF(OR(B145="",D145="",H145="",I145=""),"",IF(L145="","Ouvert",IF(X145&gt;0,"Gagné",IF(X145&lt;0,"Perdu","Neutre"))))</f>
        <v/>
      </c>
      <c r="AD145" s="115">
        <f>IF(X145="","",IF(C145="",B145,C145))</f>
        <v/>
      </c>
      <c r="AE145" s="109">
        <f>IF(B145="","",WEEKDAY(B145,2))</f>
        <v/>
      </c>
      <c r="AF145" s="112">
        <f>IF(X145="","",'Paramètres'!$C$9+SUM($X$6:X145))</f>
        <v/>
      </c>
      <c r="AG145" s="112">
        <f>IF(AF145="","",MAX('Paramètres'!$C$9,MAX($AF$6:AF145)))</f>
        <v/>
      </c>
      <c r="AH145" s="116">
        <f>IF(AF145="","",AF145/AG145-1)</f>
        <v/>
      </c>
      <c r="AI145" s="109">
        <f>IF(X145="","",IF(X145&gt;0,IF(N(AI144)&gt;0,N(AI144)+1,1),IF(X145&lt;0,IF(N(AI144)&lt;0,N(AI144)-1,-1),0)))</f>
        <v/>
      </c>
      <c r="AJ145" s="116">
        <f>IF(Z145="","",IFERROR(Z145/('Paramètres'!$C$9+SUM($X$5:X144)),""))</f>
        <v/>
      </c>
      <c r="AK145" s="109">
        <f>IF(AC145="Ouvert",COUNTIF($AC$6:AC145,"Ouvert"),"")</f>
        <v/>
      </c>
    </row>
    <row r="146" ht="19" customHeight="1">
      <c r="A146" s="104">
        <f>IF(B146="","",ROW()-5)</f>
        <v/>
      </c>
      <c r="B146" s="61" t="n"/>
      <c r="C146" s="61" t="n"/>
      <c r="D146" s="105" t="n"/>
      <c r="E146" s="49" t="n"/>
      <c r="F146" s="105" t="n"/>
      <c r="G146" s="49" t="n"/>
      <c r="H146" s="106" t="n"/>
      <c r="I146" s="107" t="n"/>
      <c r="J146" s="107" t="n"/>
      <c r="K146" s="107" t="n"/>
      <c r="L146" s="107" t="n"/>
      <c r="M146" s="106" t="n"/>
      <c r="N146" s="62" t="n"/>
      <c r="O146" s="49" t="n"/>
      <c r="P146" s="49" t="n"/>
      <c r="Q146" s="105" t="n"/>
      <c r="R146" s="105" t="n"/>
      <c r="S146" s="105" t="n"/>
      <c r="T146" s="105" t="n"/>
      <c r="U146" s="108">
        <f>IF(OR(H146="",I146="",I146=0),"",H146/I146)</f>
        <v/>
      </c>
      <c r="V146" s="109">
        <f>IF(OR(B146="",C146="",L146=""),"",MAX(0,C146-B146))</f>
        <v/>
      </c>
      <c r="W146" s="110">
        <f>IF(OR(L146="",U146=""),"",IF(E146="Short",(I146-L146)*U146,(L146-I146)*U146))</f>
        <v/>
      </c>
      <c r="X146" s="110">
        <f>IF(W146="","",W146-IF(M146="",0,M146))</f>
        <v/>
      </c>
      <c r="Y146" s="111">
        <f>IF(OR(X146="",H146="",H146=0),"",X146/H146)</f>
        <v/>
      </c>
      <c r="Z146" s="112">
        <f>IF(OR(I146="",J146="",U146=""),"",ABS(I146-J146)*U146)</f>
        <v/>
      </c>
      <c r="AA146" s="113">
        <f>IF(OR(X146="",Z146="",Z146=0),"",X146/Z146)</f>
        <v/>
      </c>
      <c r="AB146" s="114">
        <f>IF(OR(I146="",J146="",K146="",I146=J146),"",ABS(K146-I146)/ABS(I146-J146))</f>
        <v/>
      </c>
      <c r="AC146" s="51">
        <f>IF(OR(B146="",D146="",H146="",I146=""),"",IF(L146="","Ouvert",IF(X146&gt;0,"Gagné",IF(X146&lt;0,"Perdu","Neutre"))))</f>
        <v/>
      </c>
      <c r="AD146" s="115">
        <f>IF(X146="","",IF(C146="",B146,C146))</f>
        <v/>
      </c>
      <c r="AE146" s="109">
        <f>IF(B146="","",WEEKDAY(B146,2))</f>
        <v/>
      </c>
      <c r="AF146" s="112">
        <f>IF(X146="","",'Paramètres'!$C$9+SUM($X$6:X146))</f>
        <v/>
      </c>
      <c r="AG146" s="112">
        <f>IF(AF146="","",MAX('Paramètres'!$C$9,MAX($AF$6:AF146)))</f>
        <v/>
      </c>
      <c r="AH146" s="116">
        <f>IF(AF146="","",AF146/AG146-1)</f>
        <v/>
      </c>
      <c r="AI146" s="109">
        <f>IF(X146="","",IF(X146&gt;0,IF(N(AI145)&gt;0,N(AI145)+1,1),IF(X146&lt;0,IF(N(AI145)&lt;0,N(AI145)-1,-1),0)))</f>
        <v/>
      </c>
      <c r="AJ146" s="116">
        <f>IF(Z146="","",IFERROR(Z146/('Paramètres'!$C$9+SUM($X$5:X145)),""))</f>
        <v/>
      </c>
      <c r="AK146" s="109">
        <f>IF(AC146="Ouvert",COUNTIF($AC$6:AC146,"Ouvert"),"")</f>
        <v/>
      </c>
    </row>
    <row r="147" ht="19" customHeight="1">
      <c r="A147" s="104">
        <f>IF(B147="","",ROW()-5)</f>
        <v/>
      </c>
      <c r="B147" s="61" t="n"/>
      <c r="C147" s="61" t="n"/>
      <c r="D147" s="105" t="n"/>
      <c r="E147" s="49" t="n"/>
      <c r="F147" s="105" t="n"/>
      <c r="G147" s="49" t="n"/>
      <c r="H147" s="106" t="n"/>
      <c r="I147" s="107" t="n"/>
      <c r="J147" s="107" t="n"/>
      <c r="K147" s="107" t="n"/>
      <c r="L147" s="107" t="n"/>
      <c r="M147" s="106" t="n"/>
      <c r="N147" s="62" t="n"/>
      <c r="O147" s="49" t="n"/>
      <c r="P147" s="49" t="n"/>
      <c r="Q147" s="105" t="n"/>
      <c r="R147" s="105" t="n"/>
      <c r="S147" s="105" t="n"/>
      <c r="T147" s="105" t="n"/>
      <c r="U147" s="108">
        <f>IF(OR(H147="",I147="",I147=0),"",H147/I147)</f>
        <v/>
      </c>
      <c r="V147" s="109">
        <f>IF(OR(B147="",C147="",L147=""),"",MAX(0,C147-B147))</f>
        <v/>
      </c>
      <c r="W147" s="110">
        <f>IF(OR(L147="",U147=""),"",IF(E147="Short",(I147-L147)*U147,(L147-I147)*U147))</f>
        <v/>
      </c>
      <c r="X147" s="110">
        <f>IF(W147="","",W147-IF(M147="",0,M147))</f>
        <v/>
      </c>
      <c r="Y147" s="111">
        <f>IF(OR(X147="",H147="",H147=0),"",X147/H147)</f>
        <v/>
      </c>
      <c r="Z147" s="112">
        <f>IF(OR(I147="",J147="",U147=""),"",ABS(I147-J147)*U147)</f>
        <v/>
      </c>
      <c r="AA147" s="113">
        <f>IF(OR(X147="",Z147="",Z147=0),"",X147/Z147)</f>
        <v/>
      </c>
      <c r="AB147" s="114">
        <f>IF(OR(I147="",J147="",K147="",I147=J147),"",ABS(K147-I147)/ABS(I147-J147))</f>
        <v/>
      </c>
      <c r="AC147" s="51">
        <f>IF(OR(B147="",D147="",H147="",I147=""),"",IF(L147="","Ouvert",IF(X147&gt;0,"Gagné",IF(X147&lt;0,"Perdu","Neutre"))))</f>
        <v/>
      </c>
      <c r="AD147" s="115">
        <f>IF(X147="","",IF(C147="",B147,C147))</f>
        <v/>
      </c>
      <c r="AE147" s="109">
        <f>IF(B147="","",WEEKDAY(B147,2))</f>
        <v/>
      </c>
      <c r="AF147" s="112">
        <f>IF(X147="","",'Paramètres'!$C$9+SUM($X$6:X147))</f>
        <v/>
      </c>
      <c r="AG147" s="112">
        <f>IF(AF147="","",MAX('Paramètres'!$C$9,MAX($AF$6:AF147)))</f>
        <v/>
      </c>
      <c r="AH147" s="116">
        <f>IF(AF147="","",AF147/AG147-1)</f>
        <v/>
      </c>
      <c r="AI147" s="109">
        <f>IF(X147="","",IF(X147&gt;0,IF(N(AI146)&gt;0,N(AI146)+1,1),IF(X147&lt;0,IF(N(AI146)&lt;0,N(AI146)-1,-1),0)))</f>
        <v/>
      </c>
      <c r="AJ147" s="116">
        <f>IF(Z147="","",IFERROR(Z147/('Paramètres'!$C$9+SUM($X$5:X146)),""))</f>
        <v/>
      </c>
      <c r="AK147" s="109">
        <f>IF(AC147="Ouvert",COUNTIF($AC$6:AC147,"Ouvert"),"")</f>
        <v/>
      </c>
    </row>
    <row r="148" ht="19" customHeight="1">
      <c r="A148" s="104">
        <f>IF(B148="","",ROW()-5)</f>
        <v/>
      </c>
      <c r="B148" s="61" t="n"/>
      <c r="C148" s="61" t="n"/>
      <c r="D148" s="105" t="n"/>
      <c r="E148" s="49" t="n"/>
      <c r="F148" s="105" t="n"/>
      <c r="G148" s="49" t="n"/>
      <c r="H148" s="106" t="n"/>
      <c r="I148" s="107" t="n"/>
      <c r="J148" s="107" t="n"/>
      <c r="K148" s="107" t="n"/>
      <c r="L148" s="107" t="n"/>
      <c r="M148" s="106" t="n"/>
      <c r="N148" s="62" t="n"/>
      <c r="O148" s="49" t="n"/>
      <c r="P148" s="49" t="n"/>
      <c r="Q148" s="105" t="n"/>
      <c r="R148" s="105" t="n"/>
      <c r="S148" s="105" t="n"/>
      <c r="T148" s="105" t="n"/>
      <c r="U148" s="108">
        <f>IF(OR(H148="",I148="",I148=0),"",H148/I148)</f>
        <v/>
      </c>
      <c r="V148" s="109">
        <f>IF(OR(B148="",C148="",L148=""),"",MAX(0,C148-B148))</f>
        <v/>
      </c>
      <c r="W148" s="110">
        <f>IF(OR(L148="",U148=""),"",IF(E148="Short",(I148-L148)*U148,(L148-I148)*U148))</f>
        <v/>
      </c>
      <c r="X148" s="110">
        <f>IF(W148="","",W148-IF(M148="",0,M148))</f>
        <v/>
      </c>
      <c r="Y148" s="111">
        <f>IF(OR(X148="",H148="",H148=0),"",X148/H148)</f>
        <v/>
      </c>
      <c r="Z148" s="112">
        <f>IF(OR(I148="",J148="",U148=""),"",ABS(I148-J148)*U148)</f>
        <v/>
      </c>
      <c r="AA148" s="113">
        <f>IF(OR(X148="",Z148="",Z148=0),"",X148/Z148)</f>
        <v/>
      </c>
      <c r="AB148" s="114">
        <f>IF(OR(I148="",J148="",K148="",I148=J148),"",ABS(K148-I148)/ABS(I148-J148))</f>
        <v/>
      </c>
      <c r="AC148" s="51">
        <f>IF(OR(B148="",D148="",H148="",I148=""),"",IF(L148="","Ouvert",IF(X148&gt;0,"Gagné",IF(X148&lt;0,"Perdu","Neutre"))))</f>
        <v/>
      </c>
      <c r="AD148" s="115">
        <f>IF(X148="","",IF(C148="",B148,C148))</f>
        <v/>
      </c>
      <c r="AE148" s="109">
        <f>IF(B148="","",WEEKDAY(B148,2))</f>
        <v/>
      </c>
      <c r="AF148" s="112">
        <f>IF(X148="","",'Paramètres'!$C$9+SUM($X$6:X148))</f>
        <v/>
      </c>
      <c r="AG148" s="112">
        <f>IF(AF148="","",MAX('Paramètres'!$C$9,MAX($AF$6:AF148)))</f>
        <v/>
      </c>
      <c r="AH148" s="116">
        <f>IF(AF148="","",AF148/AG148-1)</f>
        <v/>
      </c>
      <c r="AI148" s="109">
        <f>IF(X148="","",IF(X148&gt;0,IF(N(AI147)&gt;0,N(AI147)+1,1),IF(X148&lt;0,IF(N(AI147)&lt;0,N(AI147)-1,-1),0)))</f>
        <v/>
      </c>
      <c r="AJ148" s="116">
        <f>IF(Z148="","",IFERROR(Z148/('Paramètres'!$C$9+SUM($X$5:X147)),""))</f>
        <v/>
      </c>
      <c r="AK148" s="109">
        <f>IF(AC148="Ouvert",COUNTIF($AC$6:AC148,"Ouvert"),"")</f>
        <v/>
      </c>
    </row>
    <row r="149" ht="19" customHeight="1">
      <c r="A149" s="104">
        <f>IF(B149="","",ROW()-5)</f>
        <v/>
      </c>
      <c r="B149" s="61" t="n"/>
      <c r="C149" s="61" t="n"/>
      <c r="D149" s="105" t="n"/>
      <c r="E149" s="49" t="n"/>
      <c r="F149" s="105" t="n"/>
      <c r="G149" s="49" t="n"/>
      <c r="H149" s="106" t="n"/>
      <c r="I149" s="107" t="n"/>
      <c r="J149" s="107" t="n"/>
      <c r="K149" s="107" t="n"/>
      <c r="L149" s="107" t="n"/>
      <c r="M149" s="106" t="n"/>
      <c r="N149" s="62" t="n"/>
      <c r="O149" s="49" t="n"/>
      <c r="P149" s="49" t="n"/>
      <c r="Q149" s="105" t="n"/>
      <c r="R149" s="105" t="n"/>
      <c r="S149" s="105" t="n"/>
      <c r="T149" s="105" t="n"/>
      <c r="U149" s="108">
        <f>IF(OR(H149="",I149="",I149=0),"",H149/I149)</f>
        <v/>
      </c>
      <c r="V149" s="109">
        <f>IF(OR(B149="",C149="",L149=""),"",MAX(0,C149-B149))</f>
        <v/>
      </c>
      <c r="W149" s="110">
        <f>IF(OR(L149="",U149=""),"",IF(E149="Short",(I149-L149)*U149,(L149-I149)*U149))</f>
        <v/>
      </c>
      <c r="X149" s="110">
        <f>IF(W149="","",W149-IF(M149="",0,M149))</f>
        <v/>
      </c>
      <c r="Y149" s="111">
        <f>IF(OR(X149="",H149="",H149=0),"",X149/H149)</f>
        <v/>
      </c>
      <c r="Z149" s="112">
        <f>IF(OR(I149="",J149="",U149=""),"",ABS(I149-J149)*U149)</f>
        <v/>
      </c>
      <c r="AA149" s="113">
        <f>IF(OR(X149="",Z149="",Z149=0),"",X149/Z149)</f>
        <v/>
      </c>
      <c r="AB149" s="114">
        <f>IF(OR(I149="",J149="",K149="",I149=J149),"",ABS(K149-I149)/ABS(I149-J149))</f>
        <v/>
      </c>
      <c r="AC149" s="51">
        <f>IF(OR(B149="",D149="",H149="",I149=""),"",IF(L149="","Ouvert",IF(X149&gt;0,"Gagné",IF(X149&lt;0,"Perdu","Neutre"))))</f>
        <v/>
      </c>
      <c r="AD149" s="115">
        <f>IF(X149="","",IF(C149="",B149,C149))</f>
        <v/>
      </c>
      <c r="AE149" s="109">
        <f>IF(B149="","",WEEKDAY(B149,2))</f>
        <v/>
      </c>
      <c r="AF149" s="112">
        <f>IF(X149="","",'Paramètres'!$C$9+SUM($X$6:X149))</f>
        <v/>
      </c>
      <c r="AG149" s="112">
        <f>IF(AF149="","",MAX('Paramètres'!$C$9,MAX($AF$6:AF149)))</f>
        <v/>
      </c>
      <c r="AH149" s="116">
        <f>IF(AF149="","",AF149/AG149-1)</f>
        <v/>
      </c>
      <c r="AI149" s="109">
        <f>IF(X149="","",IF(X149&gt;0,IF(N(AI148)&gt;0,N(AI148)+1,1),IF(X149&lt;0,IF(N(AI148)&lt;0,N(AI148)-1,-1),0)))</f>
        <v/>
      </c>
      <c r="AJ149" s="116">
        <f>IF(Z149="","",IFERROR(Z149/('Paramètres'!$C$9+SUM($X$5:X148)),""))</f>
        <v/>
      </c>
      <c r="AK149" s="109">
        <f>IF(AC149="Ouvert",COUNTIF($AC$6:AC149,"Ouvert"),"")</f>
        <v/>
      </c>
    </row>
    <row r="150" ht="19" customHeight="1">
      <c r="A150" s="104">
        <f>IF(B150="","",ROW()-5)</f>
        <v/>
      </c>
      <c r="B150" s="61" t="n"/>
      <c r="C150" s="61" t="n"/>
      <c r="D150" s="105" t="n"/>
      <c r="E150" s="49" t="n"/>
      <c r="F150" s="105" t="n"/>
      <c r="G150" s="49" t="n"/>
      <c r="H150" s="106" t="n"/>
      <c r="I150" s="107" t="n"/>
      <c r="J150" s="107" t="n"/>
      <c r="K150" s="107" t="n"/>
      <c r="L150" s="107" t="n"/>
      <c r="M150" s="106" t="n"/>
      <c r="N150" s="62" t="n"/>
      <c r="O150" s="49" t="n"/>
      <c r="P150" s="49" t="n"/>
      <c r="Q150" s="105" t="n"/>
      <c r="R150" s="105" t="n"/>
      <c r="S150" s="105" t="n"/>
      <c r="T150" s="105" t="n"/>
      <c r="U150" s="108">
        <f>IF(OR(H150="",I150="",I150=0),"",H150/I150)</f>
        <v/>
      </c>
      <c r="V150" s="109">
        <f>IF(OR(B150="",C150="",L150=""),"",MAX(0,C150-B150))</f>
        <v/>
      </c>
      <c r="W150" s="110">
        <f>IF(OR(L150="",U150=""),"",IF(E150="Short",(I150-L150)*U150,(L150-I150)*U150))</f>
        <v/>
      </c>
      <c r="X150" s="110">
        <f>IF(W150="","",W150-IF(M150="",0,M150))</f>
        <v/>
      </c>
      <c r="Y150" s="111">
        <f>IF(OR(X150="",H150="",H150=0),"",X150/H150)</f>
        <v/>
      </c>
      <c r="Z150" s="112">
        <f>IF(OR(I150="",J150="",U150=""),"",ABS(I150-J150)*U150)</f>
        <v/>
      </c>
      <c r="AA150" s="113">
        <f>IF(OR(X150="",Z150="",Z150=0),"",X150/Z150)</f>
        <v/>
      </c>
      <c r="AB150" s="114">
        <f>IF(OR(I150="",J150="",K150="",I150=J150),"",ABS(K150-I150)/ABS(I150-J150))</f>
        <v/>
      </c>
      <c r="AC150" s="51">
        <f>IF(OR(B150="",D150="",H150="",I150=""),"",IF(L150="","Ouvert",IF(X150&gt;0,"Gagné",IF(X150&lt;0,"Perdu","Neutre"))))</f>
        <v/>
      </c>
      <c r="AD150" s="115">
        <f>IF(X150="","",IF(C150="",B150,C150))</f>
        <v/>
      </c>
      <c r="AE150" s="109">
        <f>IF(B150="","",WEEKDAY(B150,2))</f>
        <v/>
      </c>
      <c r="AF150" s="112">
        <f>IF(X150="","",'Paramètres'!$C$9+SUM($X$6:X150))</f>
        <v/>
      </c>
      <c r="AG150" s="112">
        <f>IF(AF150="","",MAX('Paramètres'!$C$9,MAX($AF$6:AF150)))</f>
        <v/>
      </c>
      <c r="AH150" s="116">
        <f>IF(AF150="","",AF150/AG150-1)</f>
        <v/>
      </c>
      <c r="AI150" s="109">
        <f>IF(X150="","",IF(X150&gt;0,IF(N(AI149)&gt;0,N(AI149)+1,1),IF(X150&lt;0,IF(N(AI149)&lt;0,N(AI149)-1,-1),0)))</f>
        <v/>
      </c>
      <c r="AJ150" s="116">
        <f>IF(Z150="","",IFERROR(Z150/('Paramètres'!$C$9+SUM($X$5:X149)),""))</f>
        <v/>
      </c>
      <c r="AK150" s="109">
        <f>IF(AC150="Ouvert",COUNTIF($AC$6:AC150,"Ouvert"),"")</f>
        <v/>
      </c>
    </row>
    <row r="151" ht="19" customHeight="1">
      <c r="A151" s="104">
        <f>IF(B151="","",ROW()-5)</f>
        <v/>
      </c>
      <c r="B151" s="61" t="n"/>
      <c r="C151" s="61" t="n"/>
      <c r="D151" s="105" t="n"/>
      <c r="E151" s="49" t="n"/>
      <c r="F151" s="105" t="n"/>
      <c r="G151" s="49" t="n"/>
      <c r="H151" s="106" t="n"/>
      <c r="I151" s="107" t="n"/>
      <c r="J151" s="107" t="n"/>
      <c r="K151" s="107" t="n"/>
      <c r="L151" s="107" t="n"/>
      <c r="M151" s="106" t="n"/>
      <c r="N151" s="62" t="n"/>
      <c r="O151" s="49" t="n"/>
      <c r="P151" s="49" t="n"/>
      <c r="Q151" s="105" t="n"/>
      <c r="R151" s="105" t="n"/>
      <c r="S151" s="105" t="n"/>
      <c r="T151" s="105" t="n"/>
      <c r="U151" s="108">
        <f>IF(OR(H151="",I151="",I151=0),"",H151/I151)</f>
        <v/>
      </c>
      <c r="V151" s="109">
        <f>IF(OR(B151="",C151="",L151=""),"",MAX(0,C151-B151))</f>
        <v/>
      </c>
      <c r="W151" s="110">
        <f>IF(OR(L151="",U151=""),"",IF(E151="Short",(I151-L151)*U151,(L151-I151)*U151))</f>
        <v/>
      </c>
      <c r="X151" s="110">
        <f>IF(W151="","",W151-IF(M151="",0,M151))</f>
        <v/>
      </c>
      <c r="Y151" s="111">
        <f>IF(OR(X151="",H151="",H151=0),"",X151/H151)</f>
        <v/>
      </c>
      <c r="Z151" s="112">
        <f>IF(OR(I151="",J151="",U151=""),"",ABS(I151-J151)*U151)</f>
        <v/>
      </c>
      <c r="AA151" s="113">
        <f>IF(OR(X151="",Z151="",Z151=0),"",X151/Z151)</f>
        <v/>
      </c>
      <c r="AB151" s="114">
        <f>IF(OR(I151="",J151="",K151="",I151=J151),"",ABS(K151-I151)/ABS(I151-J151))</f>
        <v/>
      </c>
      <c r="AC151" s="51">
        <f>IF(OR(B151="",D151="",H151="",I151=""),"",IF(L151="","Ouvert",IF(X151&gt;0,"Gagné",IF(X151&lt;0,"Perdu","Neutre"))))</f>
        <v/>
      </c>
      <c r="AD151" s="115">
        <f>IF(X151="","",IF(C151="",B151,C151))</f>
        <v/>
      </c>
      <c r="AE151" s="109">
        <f>IF(B151="","",WEEKDAY(B151,2))</f>
        <v/>
      </c>
      <c r="AF151" s="112">
        <f>IF(X151="","",'Paramètres'!$C$9+SUM($X$6:X151))</f>
        <v/>
      </c>
      <c r="AG151" s="112">
        <f>IF(AF151="","",MAX('Paramètres'!$C$9,MAX($AF$6:AF151)))</f>
        <v/>
      </c>
      <c r="AH151" s="116">
        <f>IF(AF151="","",AF151/AG151-1)</f>
        <v/>
      </c>
      <c r="AI151" s="109">
        <f>IF(X151="","",IF(X151&gt;0,IF(N(AI150)&gt;0,N(AI150)+1,1),IF(X151&lt;0,IF(N(AI150)&lt;0,N(AI150)-1,-1),0)))</f>
        <v/>
      </c>
      <c r="AJ151" s="116">
        <f>IF(Z151="","",IFERROR(Z151/('Paramètres'!$C$9+SUM($X$5:X150)),""))</f>
        <v/>
      </c>
      <c r="AK151" s="109">
        <f>IF(AC151="Ouvert",COUNTIF($AC$6:AC151,"Ouvert"),"")</f>
        <v/>
      </c>
    </row>
    <row r="152" ht="19" customHeight="1">
      <c r="A152" s="104">
        <f>IF(B152="","",ROW()-5)</f>
        <v/>
      </c>
      <c r="B152" s="61" t="n"/>
      <c r="C152" s="61" t="n"/>
      <c r="D152" s="105" t="n"/>
      <c r="E152" s="49" t="n"/>
      <c r="F152" s="105" t="n"/>
      <c r="G152" s="49" t="n"/>
      <c r="H152" s="106" t="n"/>
      <c r="I152" s="107" t="n"/>
      <c r="J152" s="107" t="n"/>
      <c r="K152" s="107" t="n"/>
      <c r="L152" s="107" t="n"/>
      <c r="M152" s="106" t="n"/>
      <c r="N152" s="62" t="n"/>
      <c r="O152" s="49" t="n"/>
      <c r="P152" s="49" t="n"/>
      <c r="Q152" s="105" t="n"/>
      <c r="R152" s="105" t="n"/>
      <c r="S152" s="105" t="n"/>
      <c r="T152" s="105" t="n"/>
      <c r="U152" s="108">
        <f>IF(OR(H152="",I152="",I152=0),"",H152/I152)</f>
        <v/>
      </c>
      <c r="V152" s="109">
        <f>IF(OR(B152="",C152="",L152=""),"",MAX(0,C152-B152))</f>
        <v/>
      </c>
      <c r="W152" s="110">
        <f>IF(OR(L152="",U152=""),"",IF(E152="Short",(I152-L152)*U152,(L152-I152)*U152))</f>
        <v/>
      </c>
      <c r="X152" s="110">
        <f>IF(W152="","",W152-IF(M152="",0,M152))</f>
        <v/>
      </c>
      <c r="Y152" s="111">
        <f>IF(OR(X152="",H152="",H152=0),"",X152/H152)</f>
        <v/>
      </c>
      <c r="Z152" s="112">
        <f>IF(OR(I152="",J152="",U152=""),"",ABS(I152-J152)*U152)</f>
        <v/>
      </c>
      <c r="AA152" s="113">
        <f>IF(OR(X152="",Z152="",Z152=0),"",X152/Z152)</f>
        <v/>
      </c>
      <c r="AB152" s="114">
        <f>IF(OR(I152="",J152="",K152="",I152=J152),"",ABS(K152-I152)/ABS(I152-J152))</f>
        <v/>
      </c>
      <c r="AC152" s="51">
        <f>IF(OR(B152="",D152="",H152="",I152=""),"",IF(L152="","Ouvert",IF(X152&gt;0,"Gagné",IF(X152&lt;0,"Perdu","Neutre"))))</f>
        <v/>
      </c>
      <c r="AD152" s="115">
        <f>IF(X152="","",IF(C152="",B152,C152))</f>
        <v/>
      </c>
      <c r="AE152" s="109">
        <f>IF(B152="","",WEEKDAY(B152,2))</f>
        <v/>
      </c>
      <c r="AF152" s="112">
        <f>IF(X152="","",'Paramètres'!$C$9+SUM($X$6:X152))</f>
        <v/>
      </c>
      <c r="AG152" s="112">
        <f>IF(AF152="","",MAX('Paramètres'!$C$9,MAX($AF$6:AF152)))</f>
        <v/>
      </c>
      <c r="AH152" s="116">
        <f>IF(AF152="","",AF152/AG152-1)</f>
        <v/>
      </c>
      <c r="AI152" s="109">
        <f>IF(X152="","",IF(X152&gt;0,IF(N(AI151)&gt;0,N(AI151)+1,1),IF(X152&lt;0,IF(N(AI151)&lt;0,N(AI151)-1,-1),0)))</f>
        <v/>
      </c>
      <c r="AJ152" s="116">
        <f>IF(Z152="","",IFERROR(Z152/('Paramètres'!$C$9+SUM($X$5:X151)),""))</f>
        <v/>
      </c>
      <c r="AK152" s="109">
        <f>IF(AC152="Ouvert",COUNTIF($AC$6:AC152,"Ouvert"),"")</f>
        <v/>
      </c>
    </row>
    <row r="153" ht="19" customHeight="1">
      <c r="A153" s="104">
        <f>IF(B153="","",ROW()-5)</f>
        <v/>
      </c>
      <c r="B153" s="61" t="n"/>
      <c r="C153" s="61" t="n"/>
      <c r="D153" s="105" t="n"/>
      <c r="E153" s="49" t="n"/>
      <c r="F153" s="105" t="n"/>
      <c r="G153" s="49" t="n"/>
      <c r="H153" s="106" t="n"/>
      <c r="I153" s="107" t="n"/>
      <c r="J153" s="107" t="n"/>
      <c r="K153" s="107" t="n"/>
      <c r="L153" s="107" t="n"/>
      <c r="M153" s="106" t="n"/>
      <c r="N153" s="62" t="n"/>
      <c r="O153" s="49" t="n"/>
      <c r="P153" s="49" t="n"/>
      <c r="Q153" s="105" t="n"/>
      <c r="R153" s="105" t="n"/>
      <c r="S153" s="105" t="n"/>
      <c r="T153" s="105" t="n"/>
      <c r="U153" s="108">
        <f>IF(OR(H153="",I153="",I153=0),"",H153/I153)</f>
        <v/>
      </c>
      <c r="V153" s="109">
        <f>IF(OR(B153="",C153="",L153=""),"",MAX(0,C153-B153))</f>
        <v/>
      </c>
      <c r="W153" s="110">
        <f>IF(OR(L153="",U153=""),"",IF(E153="Short",(I153-L153)*U153,(L153-I153)*U153))</f>
        <v/>
      </c>
      <c r="X153" s="110">
        <f>IF(W153="","",W153-IF(M153="",0,M153))</f>
        <v/>
      </c>
      <c r="Y153" s="111">
        <f>IF(OR(X153="",H153="",H153=0),"",X153/H153)</f>
        <v/>
      </c>
      <c r="Z153" s="112">
        <f>IF(OR(I153="",J153="",U153=""),"",ABS(I153-J153)*U153)</f>
        <v/>
      </c>
      <c r="AA153" s="113">
        <f>IF(OR(X153="",Z153="",Z153=0),"",X153/Z153)</f>
        <v/>
      </c>
      <c r="AB153" s="114">
        <f>IF(OR(I153="",J153="",K153="",I153=J153),"",ABS(K153-I153)/ABS(I153-J153))</f>
        <v/>
      </c>
      <c r="AC153" s="51">
        <f>IF(OR(B153="",D153="",H153="",I153=""),"",IF(L153="","Ouvert",IF(X153&gt;0,"Gagné",IF(X153&lt;0,"Perdu","Neutre"))))</f>
        <v/>
      </c>
      <c r="AD153" s="115">
        <f>IF(X153="","",IF(C153="",B153,C153))</f>
        <v/>
      </c>
      <c r="AE153" s="109">
        <f>IF(B153="","",WEEKDAY(B153,2))</f>
        <v/>
      </c>
      <c r="AF153" s="112">
        <f>IF(X153="","",'Paramètres'!$C$9+SUM($X$6:X153))</f>
        <v/>
      </c>
      <c r="AG153" s="112">
        <f>IF(AF153="","",MAX('Paramètres'!$C$9,MAX($AF$6:AF153)))</f>
        <v/>
      </c>
      <c r="AH153" s="116">
        <f>IF(AF153="","",AF153/AG153-1)</f>
        <v/>
      </c>
      <c r="AI153" s="109">
        <f>IF(X153="","",IF(X153&gt;0,IF(N(AI152)&gt;0,N(AI152)+1,1),IF(X153&lt;0,IF(N(AI152)&lt;0,N(AI152)-1,-1),0)))</f>
        <v/>
      </c>
      <c r="AJ153" s="116">
        <f>IF(Z153="","",IFERROR(Z153/('Paramètres'!$C$9+SUM($X$5:X152)),""))</f>
        <v/>
      </c>
      <c r="AK153" s="109">
        <f>IF(AC153="Ouvert",COUNTIF($AC$6:AC153,"Ouvert"),"")</f>
        <v/>
      </c>
    </row>
    <row r="154" ht="19" customHeight="1">
      <c r="A154" s="104">
        <f>IF(B154="","",ROW()-5)</f>
        <v/>
      </c>
      <c r="B154" s="61" t="n"/>
      <c r="C154" s="61" t="n"/>
      <c r="D154" s="105" t="n"/>
      <c r="E154" s="49" t="n"/>
      <c r="F154" s="105" t="n"/>
      <c r="G154" s="49" t="n"/>
      <c r="H154" s="106" t="n"/>
      <c r="I154" s="107" t="n"/>
      <c r="J154" s="107" t="n"/>
      <c r="K154" s="107" t="n"/>
      <c r="L154" s="107" t="n"/>
      <c r="M154" s="106" t="n"/>
      <c r="N154" s="62" t="n"/>
      <c r="O154" s="49" t="n"/>
      <c r="P154" s="49" t="n"/>
      <c r="Q154" s="105" t="n"/>
      <c r="R154" s="105" t="n"/>
      <c r="S154" s="105" t="n"/>
      <c r="T154" s="105" t="n"/>
      <c r="U154" s="108">
        <f>IF(OR(H154="",I154="",I154=0),"",H154/I154)</f>
        <v/>
      </c>
      <c r="V154" s="109">
        <f>IF(OR(B154="",C154="",L154=""),"",MAX(0,C154-B154))</f>
        <v/>
      </c>
      <c r="W154" s="110">
        <f>IF(OR(L154="",U154=""),"",IF(E154="Short",(I154-L154)*U154,(L154-I154)*U154))</f>
        <v/>
      </c>
      <c r="X154" s="110">
        <f>IF(W154="","",W154-IF(M154="",0,M154))</f>
        <v/>
      </c>
      <c r="Y154" s="111">
        <f>IF(OR(X154="",H154="",H154=0),"",X154/H154)</f>
        <v/>
      </c>
      <c r="Z154" s="112">
        <f>IF(OR(I154="",J154="",U154=""),"",ABS(I154-J154)*U154)</f>
        <v/>
      </c>
      <c r="AA154" s="113">
        <f>IF(OR(X154="",Z154="",Z154=0),"",X154/Z154)</f>
        <v/>
      </c>
      <c r="AB154" s="114">
        <f>IF(OR(I154="",J154="",K154="",I154=J154),"",ABS(K154-I154)/ABS(I154-J154))</f>
        <v/>
      </c>
      <c r="AC154" s="51">
        <f>IF(OR(B154="",D154="",H154="",I154=""),"",IF(L154="","Ouvert",IF(X154&gt;0,"Gagné",IF(X154&lt;0,"Perdu","Neutre"))))</f>
        <v/>
      </c>
      <c r="AD154" s="115">
        <f>IF(X154="","",IF(C154="",B154,C154))</f>
        <v/>
      </c>
      <c r="AE154" s="109">
        <f>IF(B154="","",WEEKDAY(B154,2))</f>
        <v/>
      </c>
      <c r="AF154" s="112">
        <f>IF(X154="","",'Paramètres'!$C$9+SUM($X$6:X154))</f>
        <v/>
      </c>
      <c r="AG154" s="112">
        <f>IF(AF154="","",MAX('Paramètres'!$C$9,MAX($AF$6:AF154)))</f>
        <v/>
      </c>
      <c r="AH154" s="116">
        <f>IF(AF154="","",AF154/AG154-1)</f>
        <v/>
      </c>
      <c r="AI154" s="109">
        <f>IF(X154="","",IF(X154&gt;0,IF(N(AI153)&gt;0,N(AI153)+1,1),IF(X154&lt;0,IF(N(AI153)&lt;0,N(AI153)-1,-1),0)))</f>
        <v/>
      </c>
      <c r="AJ154" s="116">
        <f>IF(Z154="","",IFERROR(Z154/('Paramètres'!$C$9+SUM($X$5:X153)),""))</f>
        <v/>
      </c>
      <c r="AK154" s="109">
        <f>IF(AC154="Ouvert",COUNTIF($AC$6:AC154,"Ouvert"),"")</f>
        <v/>
      </c>
    </row>
    <row r="155" ht="19" customHeight="1">
      <c r="A155" s="104">
        <f>IF(B155="","",ROW()-5)</f>
        <v/>
      </c>
      <c r="B155" s="61" t="n"/>
      <c r="C155" s="61" t="n"/>
      <c r="D155" s="105" t="n"/>
      <c r="E155" s="49" t="n"/>
      <c r="F155" s="105" t="n"/>
      <c r="G155" s="49" t="n"/>
      <c r="H155" s="106" t="n"/>
      <c r="I155" s="107" t="n"/>
      <c r="J155" s="107" t="n"/>
      <c r="K155" s="107" t="n"/>
      <c r="L155" s="107" t="n"/>
      <c r="M155" s="106" t="n"/>
      <c r="N155" s="62" t="n"/>
      <c r="O155" s="49" t="n"/>
      <c r="P155" s="49" t="n"/>
      <c r="Q155" s="105" t="n"/>
      <c r="R155" s="105" t="n"/>
      <c r="S155" s="105" t="n"/>
      <c r="T155" s="105" t="n"/>
      <c r="U155" s="108">
        <f>IF(OR(H155="",I155="",I155=0),"",H155/I155)</f>
        <v/>
      </c>
      <c r="V155" s="109">
        <f>IF(OR(B155="",C155="",L155=""),"",MAX(0,C155-B155))</f>
        <v/>
      </c>
      <c r="W155" s="110">
        <f>IF(OR(L155="",U155=""),"",IF(E155="Short",(I155-L155)*U155,(L155-I155)*U155))</f>
        <v/>
      </c>
      <c r="X155" s="110">
        <f>IF(W155="","",W155-IF(M155="",0,M155))</f>
        <v/>
      </c>
      <c r="Y155" s="111">
        <f>IF(OR(X155="",H155="",H155=0),"",X155/H155)</f>
        <v/>
      </c>
      <c r="Z155" s="112">
        <f>IF(OR(I155="",J155="",U155=""),"",ABS(I155-J155)*U155)</f>
        <v/>
      </c>
      <c r="AA155" s="113">
        <f>IF(OR(X155="",Z155="",Z155=0),"",X155/Z155)</f>
        <v/>
      </c>
      <c r="AB155" s="114">
        <f>IF(OR(I155="",J155="",K155="",I155=J155),"",ABS(K155-I155)/ABS(I155-J155))</f>
        <v/>
      </c>
      <c r="AC155" s="51">
        <f>IF(OR(B155="",D155="",H155="",I155=""),"",IF(L155="","Ouvert",IF(X155&gt;0,"Gagné",IF(X155&lt;0,"Perdu","Neutre"))))</f>
        <v/>
      </c>
      <c r="AD155" s="115">
        <f>IF(X155="","",IF(C155="",B155,C155))</f>
        <v/>
      </c>
      <c r="AE155" s="109">
        <f>IF(B155="","",WEEKDAY(B155,2))</f>
        <v/>
      </c>
      <c r="AF155" s="112">
        <f>IF(X155="","",'Paramètres'!$C$9+SUM($X$6:X155))</f>
        <v/>
      </c>
      <c r="AG155" s="112">
        <f>IF(AF155="","",MAX('Paramètres'!$C$9,MAX($AF$6:AF155)))</f>
        <v/>
      </c>
      <c r="AH155" s="116">
        <f>IF(AF155="","",AF155/AG155-1)</f>
        <v/>
      </c>
      <c r="AI155" s="109">
        <f>IF(X155="","",IF(X155&gt;0,IF(N(AI154)&gt;0,N(AI154)+1,1),IF(X155&lt;0,IF(N(AI154)&lt;0,N(AI154)-1,-1),0)))</f>
        <v/>
      </c>
      <c r="AJ155" s="116">
        <f>IF(Z155="","",IFERROR(Z155/('Paramètres'!$C$9+SUM($X$5:X154)),""))</f>
        <v/>
      </c>
      <c r="AK155" s="109">
        <f>IF(AC155="Ouvert",COUNTIF($AC$6:AC155,"Ouvert"),"")</f>
        <v/>
      </c>
    </row>
    <row r="156" ht="19" customHeight="1">
      <c r="A156" s="104">
        <f>IF(B156="","",ROW()-5)</f>
        <v/>
      </c>
      <c r="B156" s="61" t="n"/>
      <c r="C156" s="61" t="n"/>
      <c r="D156" s="105" t="n"/>
      <c r="E156" s="49" t="n"/>
      <c r="F156" s="105" t="n"/>
      <c r="G156" s="49" t="n"/>
      <c r="H156" s="106" t="n"/>
      <c r="I156" s="107" t="n"/>
      <c r="J156" s="107" t="n"/>
      <c r="K156" s="107" t="n"/>
      <c r="L156" s="107" t="n"/>
      <c r="M156" s="106" t="n"/>
      <c r="N156" s="62" t="n"/>
      <c r="O156" s="49" t="n"/>
      <c r="P156" s="49" t="n"/>
      <c r="Q156" s="105" t="n"/>
      <c r="R156" s="105" t="n"/>
      <c r="S156" s="105" t="n"/>
      <c r="T156" s="105" t="n"/>
      <c r="U156" s="108">
        <f>IF(OR(H156="",I156="",I156=0),"",H156/I156)</f>
        <v/>
      </c>
      <c r="V156" s="109">
        <f>IF(OR(B156="",C156="",L156=""),"",MAX(0,C156-B156))</f>
        <v/>
      </c>
      <c r="W156" s="110">
        <f>IF(OR(L156="",U156=""),"",IF(E156="Short",(I156-L156)*U156,(L156-I156)*U156))</f>
        <v/>
      </c>
      <c r="X156" s="110">
        <f>IF(W156="","",W156-IF(M156="",0,M156))</f>
        <v/>
      </c>
      <c r="Y156" s="111">
        <f>IF(OR(X156="",H156="",H156=0),"",X156/H156)</f>
        <v/>
      </c>
      <c r="Z156" s="112">
        <f>IF(OR(I156="",J156="",U156=""),"",ABS(I156-J156)*U156)</f>
        <v/>
      </c>
      <c r="AA156" s="113">
        <f>IF(OR(X156="",Z156="",Z156=0),"",X156/Z156)</f>
        <v/>
      </c>
      <c r="AB156" s="114">
        <f>IF(OR(I156="",J156="",K156="",I156=J156),"",ABS(K156-I156)/ABS(I156-J156))</f>
        <v/>
      </c>
      <c r="AC156" s="51">
        <f>IF(OR(B156="",D156="",H156="",I156=""),"",IF(L156="","Ouvert",IF(X156&gt;0,"Gagné",IF(X156&lt;0,"Perdu","Neutre"))))</f>
        <v/>
      </c>
      <c r="AD156" s="115">
        <f>IF(X156="","",IF(C156="",B156,C156))</f>
        <v/>
      </c>
      <c r="AE156" s="109">
        <f>IF(B156="","",WEEKDAY(B156,2))</f>
        <v/>
      </c>
      <c r="AF156" s="112">
        <f>IF(X156="","",'Paramètres'!$C$9+SUM($X$6:X156))</f>
        <v/>
      </c>
      <c r="AG156" s="112">
        <f>IF(AF156="","",MAX('Paramètres'!$C$9,MAX($AF$6:AF156)))</f>
        <v/>
      </c>
      <c r="AH156" s="116">
        <f>IF(AF156="","",AF156/AG156-1)</f>
        <v/>
      </c>
      <c r="AI156" s="109">
        <f>IF(X156="","",IF(X156&gt;0,IF(N(AI155)&gt;0,N(AI155)+1,1),IF(X156&lt;0,IF(N(AI155)&lt;0,N(AI155)-1,-1),0)))</f>
        <v/>
      </c>
      <c r="AJ156" s="116">
        <f>IF(Z156="","",IFERROR(Z156/('Paramètres'!$C$9+SUM($X$5:X155)),""))</f>
        <v/>
      </c>
      <c r="AK156" s="109">
        <f>IF(AC156="Ouvert",COUNTIF($AC$6:AC156,"Ouvert"),"")</f>
        <v/>
      </c>
    </row>
    <row r="157" ht="19" customHeight="1">
      <c r="A157" s="104">
        <f>IF(B157="","",ROW()-5)</f>
        <v/>
      </c>
      <c r="B157" s="61" t="n"/>
      <c r="C157" s="61" t="n"/>
      <c r="D157" s="105" t="n"/>
      <c r="E157" s="49" t="n"/>
      <c r="F157" s="105" t="n"/>
      <c r="G157" s="49" t="n"/>
      <c r="H157" s="106" t="n"/>
      <c r="I157" s="107" t="n"/>
      <c r="J157" s="107" t="n"/>
      <c r="K157" s="107" t="n"/>
      <c r="L157" s="107" t="n"/>
      <c r="M157" s="106" t="n"/>
      <c r="N157" s="62" t="n"/>
      <c r="O157" s="49" t="n"/>
      <c r="P157" s="49" t="n"/>
      <c r="Q157" s="105" t="n"/>
      <c r="R157" s="105" t="n"/>
      <c r="S157" s="105" t="n"/>
      <c r="T157" s="105" t="n"/>
      <c r="U157" s="108">
        <f>IF(OR(H157="",I157="",I157=0),"",H157/I157)</f>
        <v/>
      </c>
      <c r="V157" s="109">
        <f>IF(OR(B157="",C157="",L157=""),"",MAX(0,C157-B157))</f>
        <v/>
      </c>
      <c r="W157" s="110">
        <f>IF(OR(L157="",U157=""),"",IF(E157="Short",(I157-L157)*U157,(L157-I157)*U157))</f>
        <v/>
      </c>
      <c r="X157" s="110">
        <f>IF(W157="","",W157-IF(M157="",0,M157))</f>
        <v/>
      </c>
      <c r="Y157" s="111">
        <f>IF(OR(X157="",H157="",H157=0),"",X157/H157)</f>
        <v/>
      </c>
      <c r="Z157" s="112">
        <f>IF(OR(I157="",J157="",U157=""),"",ABS(I157-J157)*U157)</f>
        <v/>
      </c>
      <c r="AA157" s="113">
        <f>IF(OR(X157="",Z157="",Z157=0),"",X157/Z157)</f>
        <v/>
      </c>
      <c r="AB157" s="114">
        <f>IF(OR(I157="",J157="",K157="",I157=J157),"",ABS(K157-I157)/ABS(I157-J157))</f>
        <v/>
      </c>
      <c r="AC157" s="51">
        <f>IF(OR(B157="",D157="",H157="",I157=""),"",IF(L157="","Ouvert",IF(X157&gt;0,"Gagné",IF(X157&lt;0,"Perdu","Neutre"))))</f>
        <v/>
      </c>
      <c r="AD157" s="115">
        <f>IF(X157="","",IF(C157="",B157,C157))</f>
        <v/>
      </c>
      <c r="AE157" s="109">
        <f>IF(B157="","",WEEKDAY(B157,2))</f>
        <v/>
      </c>
      <c r="AF157" s="112">
        <f>IF(X157="","",'Paramètres'!$C$9+SUM($X$6:X157))</f>
        <v/>
      </c>
      <c r="AG157" s="112">
        <f>IF(AF157="","",MAX('Paramètres'!$C$9,MAX($AF$6:AF157)))</f>
        <v/>
      </c>
      <c r="AH157" s="116">
        <f>IF(AF157="","",AF157/AG157-1)</f>
        <v/>
      </c>
      <c r="AI157" s="109">
        <f>IF(X157="","",IF(X157&gt;0,IF(N(AI156)&gt;0,N(AI156)+1,1),IF(X157&lt;0,IF(N(AI156)&lt;0,N(AI156)-1,-1),0)))</f>
        <v/>
      </c>
      <c r="AJ157" s="116">
        <f>IF(Z157="","",IFERROR(Z157/('Paramètres'!$C$9+SUM($X$5:X156)),""))</f>
        <v/>
      </c>
      <c r="AK157" s="109">
        <f>IF(AC157="Ouvert",COUNTIF($AC$6:AC157,"Ouvert"),"")</f>
        <v/>
      </c>
    </row>
    <row r="158" ht="19" customHeight="1">
      <c r="A158" s="104">
        <f>IF(B158="","",ROW()-5)</f>
        <v/>
      </c>
      <c r="B158" s="61" t="n"/>
      <c r="C158" s="61" t="n"/>
      <c r="D158" s="105" t="n"/>
      <c r="E158" s="49" t="n"/>
      <c r="F158" s="105" t="n"/>
      <c r="G158" s="49" t="n"/>
      <c r="H158" s="106" t="n"/>
      <c r="I158" s="107" t="n"/>
      <c r="J158" s="107" t="n"/>
      <c r="K158" s="107" t="n"/>
      <c r="L158" s="107" t="n"/>
      <c r="M158" s="106" t="n"/>
      <c r="N158" s="62" t="n"/>
      <c r="O158" s="49" t="n"/>
      <c r="P158" s="49" t="n"/>
      <c r="Q158" s="105" t="n"/>
      <c r="R158" s="105" t="n"/>
      <c r="S158" s="105" t="n"/>
      <c r="T158" s="105" t="n"/>
      <c r="U158" s="108">
        <f>IF(OR(H158="",I158="",I158=0),"",H158/I158)</f>
        <v/>
      </c>
      <c r="V158" s="109">
        <f>IF(OR(B158="",C158="",L158=""),"",MAX(0,C158-B158))</f>
        <v/>
      </c>
      <c r="W158" s="110">
        <f>IF(OR(L158="",U158=""),"",IF(E158="Short",(I158-L158)*U158,(L158-I158)*U158))</f>
        <v/>
      </c>
      <c r="X158" s="110">
        <f>IF(W158="","",W158-IF(M158="",0,M158))</f>
        <v/>
      </c>
      <c r="Y158" s="111">
        <f>IF(OR(X158="",H158="",H158=0),"",X158/H158)</f>
        <v/>
      </c>
      <c r="Z158" s="112">
        <f>IF(OR(I158="",J158="",U158=""),"",ABS(I158-J158)*U158)</f>
        <v/>
      </c>
      <c r="AA158" s="113">
        <f>IF(OR(X158="",Z158="",Z158=0),"",X158/Z158)</f>
        <v/>
      </c>
      <c r="AB158" s="114">
        <f>IF(OR(I158="",J158="",K158="",I158=J158),"",ABS(K158-I158)/ABS(I158-J158))</f>
        <v/>
      </c>
      <c r="AC158" s="51">
        <f>IF(OR(B158="",D158="",H158="",I158=""),"",IF(L158="","Ouvert",IF(X158&gt;0,"Gagné",IF(X158&lt;0,"Perdu","Neutre"))))</f>
        <v/>
      </c>
      <c r="AD158" s="115">
        <f>IF(X158="","",IF(C158="",B158,C158))</f>
        <v/>
      </c>
      <c r="AE158" s="109">
        <f>IF(B158="","",WEEKDAY(B158,2))</f>
        <v/>
      </c>
      <c r="AF158" s="112">
        <f>IF(X158="","",'Paramètres'!$C$9+SUM($X$6:X158))</f>
        <v/>
      </c>
      <c r="AG158" s="112">
        <f>IF(AF158="","",MAX('Paramètres'!$C$9,MAX($AF$6:AF158)))</f>
        <v/>
      </c>
      <c r="AH158" s="116">
        <f>IF(AF158="","",AF158/AG158-1)</f>
        <v/>
      </c>
      <c r="AI158" s="109">
        <f>IF(X158="","",IF(X158&gt;0,IF(N(AI157)&gt;0,N(AI157)+1,1),IF(X158&lt;0,IF(N(AI157)&lt;0,N(AI157)-1,-1),0)))</f>
        <v/>
      </c>
      <c r="AJ158" s="116">
        <f>IF(Z158="","",IFERROR(Z158/('Paramètres'!$C$9+SUM($X$5:X157)),""))</f>
        <v/>
      </c>
      <c r="AK158" s="109">
        <f>IF(AC158="Ouvert",COUNTIF($AC$6:AC158,"Ouvert"),"")</f>
        <v/>
      </c>
    </row>
    <row r="159" ht="19" customHeight="1">
      <c r="A159" s="104">
        <f>IF(B159="","",ROW()-5)</f>
        <v/>
      </c>
      <c r="B159" s="61" t="n"/>
      <c r="C159" s="61" t="n"/>
      <c r="D159" s="105" t="n"/>
      <c r="E159" s="49" t="n"/>
      <c r="F159" s="105" t="n"/>
      <c r="G159" s="49" t="n"/>
      <c r="H159" s="106" t="n"/>
      <c r="I159" s="107" t="n"/>
      <c r="J159" s="107" t="n"/>
      <c r="K159" s="107" t="n"/>
      <c r="L159" s="107" t="n"/>
      <c r="M159" s="106" t="n"/>
      <c r="N159" s="62" t="n"/>
      <c r="O159" s="49" t="n"/>
      <c r="P159" s="49" t="n"/>
      <c r="Q159" s="105" t="n"/>
      <c r="R159" s="105" t="n"/>
      <c r="S159" s="105" t="n"/>
      <c r="T159" s="105" t="n"/>
      <c r="U159" s="108">
        <f>IF(OR(H159="",I159="",I159=0),"",H159/I159)</f>
        <v/>
      </c>
      <c r="V159" s="109">
        <f>IF(OR(B159="",C159="",L159=""),"",MAX(0,C159-B159))</f>
        <v/>
      </c>
      <c r="W159" s="110">
        <f>IF(OR(L159="",U159=""),"",IF(E159="Short",(I159-L159)*U159,(L159-I159)*U159))</f>
        <v/>
      </c>
      <c r="X159" s="110">
        <f>IF(W159="","",W159-IF(M159="",0,M159))</f>
        <v/>
      </c>
      <c r="Y159" s="111">
        <f>IF(OR(X159="",H159="",H159=0),"",X159/H159)</f>
        <v/>
      </c>
      <c r="Z159" s="112">
        <f>IF(OR(I159="",J159="",U159=""),"",ABS(I159-J159)*U159)</f>
        <v/>
      </c>
      <c r="AA159" s="113">
        <f>IF(OR(X159="",Z159="",Z159=0),"",X159/Z159)</f>
        <v/>
      </c>
      <c r="AB159" s="114">
        <f>IF(OR(I159="",J159="",K159="",I159=J159),"",ABS(K159-I159)/ABS(I159-J159))</f>
        <v/>
      </c>
      <c r="AC159" s="51">
        <f>IF(OR(B159="",D159="",H159="",I159=""),"",IF(L159="","Ouvert",IF(X159&gt;0,"Gagné",IF(X159&lt;0,"Perdu","Neutre"))))</f>
        <v/>
      </c>
      <c r="AD159" s="115">
        <f>IF(X159="","",IF(C159="",B159,C159))</f>
        <v/>
      </c>
      <c r="AE159" s="109">
        <f>IF(B159="","",WEEKDAY(B159,2))</f>
        <v/>
      </c>
      <c r="AF159" s="112">
        <f>IF(X159="","",'Paramètres'!$C$9+SUM($X$6:X159))</f>
        <v/>
      </c>
      <c r="AG159" s="112">
        <f>IF(AF159="","",MAX('Paramètres'!$C$9,MAX($AF$6:AF159)))</f>
        <v/>
      </c>
      <c r="AH159" s="116">
        <f>IF(AF159="","",AF159/AG159-1)</f>
        <v/>
      </c>
      <c r="AI159" s="109">
        <f>IF(X159="","",IF(X159&gt;0,IF(N(AI158)&gt;0,N(AI158)+1,1),IF(X159&lt;0,IF(N(AI158)&lt;0,N(AI158)-1,-1),0)))</f>
        <v/>
      </c>
      <c r="AJ159" s="116">
        <f>IF(Z159="","",IFERROR(Z159/('Paramètres'!$C$9+SUM($X$5:X158)),""))</f>
        <v/>
      </c>
      <c r="AK159" s="109">
        <f>IF(AC159="Ouvert",COUNTIF($AC$6:AC159,"Ouvert"),"")</f>
        <v/>
      </c>
    </row>
    <row r="160" ht="19" customHeight="1">
      <c r="A160" s="104">
        <f>IF(B160="","",ROW()-5)</f>
        <v/>
      </c>
      <c r="B160" s="61" t="n"/>
      <c r="C160" s="61" t="n"/>
      <c r="D160" s="105" t="n"/>
      <c r="E160" s="49" t="n"/>
      <c r="F160" s="105" t="n"/>
      <c r="G160" s="49" t="n"/>
      <c r="H160" s="106" t="n"/>
      <c r="I160" s="107" t="n"/>
      <c r="J160" s="107" t="n"/>
      <c r="K160" s="107" t="n"/>
      <c r="L160" s="107" t="n"/>
      <c r="M160" s="106" t="n"/>
      <c r="N160" s="62" t="n"/>
      <c r="O160" s="49" t="n"/>
      <c r="P160" s="49" t="n"/>
      <c r="Q160" s="105" t="n"/>
      <c r="R160" s="105" t="n"/>
      <c r="S160" s="105" t="n"/>
      <c r="T160" s="105" t="n"/>
      <c r="U160" s="108">
        <f>IF(OR(H160="",I160="",I160=0),"",H160/I160)</f>
        <v/>
      </c>
      <c r="V160" s="109">
        <f>IF(OR(B160="",C160="",L160=""),"",MAX(0,C160-B160))</f>
        <v/>
      </c>
      <c r="W160" s="110">
        <f>IF(OR(L160="",U160=""),"",IF(E160="Short",(I160-L160)*U160,(L160-I160)*U160))</f>
        <v/>
      </c>
      <c r="X160" s="110">
        <f>IF(W160="","",W160-IF(M160="",0,M160))</f>
        <v/>
      </c>
      <c r="Y160" s="111">
        <f>IF(OR(X160="",H160="",H160=0),"",X160/H160)</f>
        <v/>
      </c>
      <c r="Z160" s="112">
        <f>IF(OR(I160="",J160="",U160=""),"",ABS(I160-J160)*U160)</f>
        <v/>
      </c>
      <c r="AA160" s="113">
        <f>IF(OR(X160="",Z160="",Z160=0),"",X160/Z160)</f>
        <v/>
      </c>
      <c r="AB160" s="114">
        <f>IF(OR(I160="",J160="",K160="",I160=J160),"",ABS(K160-I160)/ABS(I160-J160))</f>
        <v/>
      </c>
      <c r="AC160" s="51">
        <f>IF(OR(B160="",D160="",H160="",I160=""),"",IF(L160="","Ouvert",IF(X160&gt;0,"Gagné",IF(X160&lt;0,"Perdu","Neutre"))))</f>
        <v/>
      </c>
      <c r="AD160" s="115">
        <f>IF(X160="","",IF(C160="",B160,C160))</f>
        <v/>
      </c>
      <c r="AE160" s="109">
        <f>IF(B160="","",WEEKDAY(B160,2))</f>
        <v/>
      </c>
      <c r="AF160" s="112">
        <f>IF(X160="","",'Paramètres'!$C$9+SUM($X$6:X160))</f>
        <v/>
      </c>
      <c r="AG160" s="112">
        <f>IF(AF160="","",MAX('Paramètres'!$C$9,MAX($AF$6:AF160)))</f>
        <v/>
      </c>
      <c r="AH160" s="116">
        <f>IF(AF160="","",AF160/AG160-1)</f>
        <v/>
      </c>
      <c r="AI160" s="109">
        <f>IF(X160="","",IF(X160&gt;0,IF(N(AI159)&gt;0,N(AI159)+1,1),IF(X160&lt;0,IF(N(AI159)&lt;0,N(AI159)-1,-1),0)))</f>
        <v/>
      </c>
      <c r="AJ160" s="116">
        <f>IF(Z160="","",IFERROR(Z160/('Paramètres'!$C$9+SUM($X$5:X159)),""))</f>
        <v/>
      </c>
      <c r="AK160" s="109">
        <f>IF(AC160="Ouvert",COUNTIF($AC$6:AC160,"Ouvert"),"")</f>
        <v/>
      </c>
    </row>
    <row r="161" ht="19" customHeight="1">
      <c r="A161" s="104">
        <f>IF(B161="","",ROW()-5)</f>
        <v/>
      </c>
      <c r="B161" s="61" t="n"/>
      <c r="C161" s="61" t="n"/>
      <c r="D161" s="105" t="n"/>
      <c r="E161" s="49" t="n"/>
      <c r="F161" s="105" t="n"/>
      <c r="G161" s="49" t="n"/>
      <c r="H161" s="106" t="n"/>
      <c r="I161" s="107" t="n"/>
      <c r="J161" s="107" t="n"/>
      <c r="K161" s="107" t="n"/>
      <c r="L161" s="107" t="n"/>
      <c r="M161" s="106" t="n"/>
      <c r="N161" s="62" t="n"/>
      <c r="O161" s="49" t="n"/>
      <c r="P161" s="49" t="n"/>
      <c r="Q161" s="105" t="n"/>
      <c r="R161" s="105" t="n"/>
      <c r="S161" s="105" t="n"/>
      <c r="T161" s="105" t="n"/>
      <c r="U161" s="108">
        <f>IF(OR(H161="",I161="",I161=0),"",H161/I161)</f>
        <v/>
      </c>
      <c r="V161" s="109">
        <f>IF(OR(B161="",C161="",L161=""),"",MAX(0,C161-B161))</f>
        <v/>
      </c>
      <c r="W161" s="110">
        <f>IF(OR(L161="",U161=""),"",IF(E161="Short",(I161-L161)*U161,(L161-I161)*U161))</f>
        <v/>
      </c>
      <c r="X161" s="110">
        <f>IF(W161="","",W161-IF(M161="",0,M161))</f>
        <v/>
      </c>
      <c r="Y161" s="111">
        <f>IF(OR(X161="",H161="",H161=0),"",X161/H161)</f>
        <v/>
      </c>
      <c r="Z161" s="112">
        <f>IF(OR(I161="",J161="",U161=""),"",ABS(I161-J161)*U161)</f>
        <v/>
      </c>
      <c r="AA161" s="113">
        <f>IF(OR(X161="",Z161="",Z161=0),"",X161/Z161)</f>
        <v/>
      </c>
      <c r="AB161" s="114">
        <f>IF(OR(I161="",J161="",K161="",I161=J161),"",ABS(K161-I161)/ABS(I161-J161))</f>
        <v/>
      </c>
      <c r="AC161" s="51">
        <f>IF(OR(B161="",D161="",H161="",I161=""),"",IF(L161="","Ouvert",IF(X161&gt;0,"Gagné",IF(X161&lt;0,"Perdu","Neutre"))))</f>
        <v/>
      </c>
      <c r="AD161" s="115">
        <f>IF(X161="","",IF(C161="",B161,C161))</f>
        <v/>
      </c>
      <c r="AE161" s="109">
        <f>IF(B161="","",WEEKDAY(B161,2))</f>
        <v/>
      </c>
      <c r="AF161" s="112">
        <f>IF(X161="","",'Paramètres'!$C$9+SUM($X$6:X161))</f>
        <v/>
      </c>
      <c r="AG161" s="112">
        <f>IF(AF161="","",MAX('Paramètres'!$C$9,MAX($AF$6:AF161)))</f>
        <v/>
      </c>
      <c r="AH161" s="116">
        <f>IF(AF161="","",AF161/AG161-1)</f>
        <v/>
      </c>
      <c r="AI161" s="109">
        <f>IF(X161="","",IF(X161&gt;0,IF(N(AI160)&gt;0,N(AI160)+1,1),IF(X161&lt;0,IF(N(AI160)&lt;0,N(AI160)-1,-1),0)))</f>
        <v/>
      </c>
      <c r="AJ161" s="116">
        <f>IF(Z161="","",IFERROR(Z161/('Paramètres'!$C$9+SUM($X$5:X160)),""))</f>
        <v/>
      </c>
      <c r="AK161" s="109">
        <f>IF(AC161="Ouvert",COUNTIF($AC$6:AC161,"Ouvert"),"")</f>
        <v/>
      </c>
    </row>
    <row r="162" ht="19" customHeight="1">
      <c r="A162" s="104">
        <f>IF(B162="","",ROW()-5)</f>
        <v/>
      </c>
      <c r="B162" s="61" t="n"/>
      <c r="C162" s="61" t="n"/>
      <c r="D162" s="105" t="n"/>
      <c r="E162" s="49" t="n"/>
      <c r="F162" s="105" t="n"/>
      <c r="G162" s="49" t="n"/>
      <c r="H162" s="106" t="n"/>
      <c r="I162" s="107" t="n"/>
      <c r="J162" s="107" t="n"/>
      <c r="K162" s="107" t="n"/>
      <c r="L162" s="107" t="n"/>
      <c r="M162" s="106" t="n"/>
      <c r="N162" s="62" t="n"/>
      <c r="O162" s="49" t="n"/>
      <c r="P162" s="49" t="n"/>
      <c r="Q162" s="105" t="n"/>
      <c r="R162" s="105" t="n"/>
      <c r="S162" s="105" t="n"/>
      <c r="T162" s="105" t="n"/>
      <c r="U162" s="108">
        <f>IF(OR(H162="",I162="",I162=0),"",H162/I162)</f>
        <v/>
      </c>
      <c r="V162" s="109">
        <f>IF(OR(B162="",C162="",L162=""),"",MAX(0,C162-B162))</f>
        <v/>
      </c>
      <c r="W162" s="110">
        <f>IF(OR(L162="",U162=""),"",IF(E162="Short",(I162-L162)*U162,(L162-I162)*U162))</f>
        <v/>
      </c>
      <c r="X162" s="110">
        <f>IF(W162="","",W162-IF(M162="",0,M162))</f>
        <v/>
      </c>
      <c r="Y162" s="111">
        <f>IF(OR(X162="",H162="",H162=0),"",X162/H162)</f>
        <v/>
      </c>
      <c r="Z162" s="112">
        <f>IF(OR(I162="",J162="",U162=""),"",ABS(I162-J162)*U162)</f>
        <v/>
      </c>
      <c r="AA162" s="113">
        <f>IF(OR(X162="",Z162="",Z162=0),"",X162/Z162)</f>
        <v/>
      </c>
      <c r="AB162" s="114">
        <f>IF(OR(I162="",J162="",K162="",I162=J162),"",ABS(K162-I162)/ABS(I162-J162))</f>
        <v/>
      </c>
      <c r="AC162" s="51">
        <f>IF(OR(B162="",D162="",H162="",I162=""),"",IF(L162="","Ouvert",IF(X162&gt;0,"Gagné",IF(X162&lt;0,"Perdu","Neutre"))))</f>
        <v/>
      </c>
      <c r="AD162" s="115">
        <f>IF(X162="","",IF(C162="",B162,C162))</f>
        <v/>
      </c>
      <c r="AE162" s="109">
        <f>IF(B162="","",WEEKDAY(B162,2))</f>
        <v/>
      </c>
      <c r="AF162" s="112">
        <f>IF(X162="","",'Paramètres'!$C$9+SUM($X$6:X162))</f>
        <v/>
      </c>
      <c r="AG162" s="112">
        <f>IF(AF162="","",MAX('Paramètres'!$C$9,MAX($AF$6:AF162)))</f>
        <v/>
      </c>
      <c r="AH162" s="116">
        <f>IF(AF162="","",AF162/AG162-1)</f>
        <v/>
      </c>
      <c r="AI162" s="109">
        <f>IF(X162="","",IF(X162&gt;0,IF(N(AI161)&gt;0,N(AI161)+1,1),IF(X162&lt;0,IF(N(AI161)&lt;0,N(AI161)-1,-1),0)))</f>
        <v/>
      </c>
      <c r="AJ162" s="116">
        <f>IF(Z162="","",IFERROR(Z162/('Paramètres'!$C$9+SUM($X$5:X161)),""))</f>
        <v/>
      </c>
      <c r="AK162" s="109">
        <f>IF(AC162="Ouvert",COUNTIF($AC$6:AC162,"Ouvert"),"")</f>
        <v/>
      </c>
    </row>
    <row r="163" ht="19" customHeight="1">
      <c r="A163" s="104">
        <f>IF(B163="","",ROW()-5)</f>
        <v/>
      </c>
      <c r="B163" s="61" t="n"/>
      <c r="C163" s="61" t="n"/>
      <c r="D163" s="105" t="n"/>
      <c r="E163" s="49" t="n"/>
      <c r="F163" s="105" t="n"/>
      <c r="G163" s="49" t="n"/>
      <c r="H163" s="106" t="n"/>
      <c r="I163" s="107" t="n"/>
      <c r="J163" s="107" t="n"/>
      <c r="K163" s="107" t="n"/>
      <c r="L163" s="107" t="n"/>
      <c r="M163" s="106" t="n"/>
      <c r="N163" s="62" t="n"/>
      <c r="O163" s="49" t="n"/>
      <c r="P163" s="49" t="n"/>
      <c r="Q163" s="105" t="n"/>
      <c r="R163" s="105" t="n"/>
      <c r="S163" s="105" t="n"/>
      <c r="T163" s="105" t="n"/>
      <c r="U163" s="108">
        <f>IF(OR(H163="",I163="",I163=0),"",H163/I163)</f>
        <v/>
      </c>
      <c r="V163" s="109">
        <f>IF(OR(B163="",C163="",L163=""),"",MAX(0,C163-B163))</f>
        <v/>
      </c>
      <c r="W163" s="110">
        <f>IF(OR(L163="",U163=""),"",IF(E163="Short",(I163-L163)*U163,(L163-I163)*U163))</f>
        <v/>
      </c>
      <c r="X163" s="110">
        <f>IF(W163="","",W163-IF(M163="",0,M163))</f>
        <v/>
      </c>
      <c r="Y163" s="111">
        <f>IF(OR(X163="",H163="",H163=0),"",X163/H163)</f>
        <v/>
      </c>
      <c r="Z163" s="112">
        <f>IF(OR(I163="",J163="",U163=""),"",ABS(I163-J163)*U163)</f>
        <v/>
      </c>
      <c r="AA163" s="113">
        <f>IF(OR(X163="",Z163="",Z163=0),"",X163/Z163)</f>
        <v/>
      </c>
      <c r="AB163" s="114">
        <f>IF(OR(I163="",J163="",K163="",I163=J163),"",ABS(K163-I163)/ABS(I163-J163))</f>
        <v/>
      </c>
      <c r="AC163" s="51">
        <f>IF(OR(B163="",D163="",H163="",I163=""),"",IF(L163="","Ouvert",IF(X163&gt;0,"Gagné",IF(X163&lt;0,"Perdu","Neutre"))))</f>
        <v/>
      </c>
      <c r="AD163" s="115">
        <f>IF(X163="","",IF(C163="",B163,C163))</f>
        <v/>
      </c>
      <c r="AE163" s="109">
        <f>IF(B163="","",WEEKDAY(B163,2))</f>
        <v/>
      </c>
      <c r="AF163" s="112">
        <f>IF(X163="","",'Paramètres'!$C$9+SUM($X$6:X163))</f>
        <v/>
      </c>
      <c r="AG163" s="112">
        <f>IF(AF163="","",MAX('Paramètres'!$C$9,MAX($AF$6:AF163)))</f>
        <v/>
      </c>
      <c r="AH163" s="116">
        <f>IF(AF163="","",AF163/AG163-1)</f>
        <v/>
      </c>
      <c r="AI163" s="109">
        <f>IF(X163="","",IF(X163&gt;0,IF(N(AI162)&gt;0,N(AI162)+1,1),IF(X163&lt;0,IF(N(AI162)&lt;0,N(AI162)-1,-1),0)))</f>
        <v/>
      </c>
      <c r="AJ163" s="116">
        <f>IF(Z163="","",IFERROR(Z163/('Paramètres'!$C$9+SUM($X$5:X162)),""))</f>
        <v/>
      </c>
      <c r="AK163" s="109">
        <f>IF(AC163="Ouvert",COUNTIF($AC$6:AC163,"Ouvert"),"")</f>
        <v/>
      </c>
    </row>
    <row r="164" ht="19" customHeight="1">
      <c r="A164" s="104">
        <f>IF(B164="","",ROW()-5)</f>
        <v/>
      </c>
      <c r="B164" s="61" t="n"/>
      <c r="C164" s="61" t="n"/>
      <c r="D164" s="105" t="n"/>
      <c r="E164" s="49" t="n"/>
      <c r="F164" s="105" t="n"/>
      <c r="G164" s="49" t="n"/>
      <c r="H164" s="106" t="n"/>
      <c r="I164" s="107" t="n"/>
      <c r="J164" s="107" t="n"/>
      <c r="K164" s="107" t="n"/>
      <c r="L164" s="107" t="n"/>
      <c r="M164" s="106" t="n"/>
      <c r="N164" s="62" t="n"/>
      <c r="O164" s="49" t="n"/>
      <c r="P164" s="49" t="n"/>
      <c r="Q164" s="105" t="n"/>
      <c r="R164" s="105" t="n"/>
      <c r="S164" s="105" t="n"/>
      <c r="T164" s="105" t="n"/>
      <c r="U164" s="108">
        <f>IF(OR(H164="",I164="",I164=0),"",H164/I164)</f>
        <v/>
      </c>
      <c r="V164" s="109">
        <f>IF(OR(B164="",C164="",L164=""),"",MAX(0,C164-B164))</f>
        <v/>
      </c>
      <c r="W164" s="110">
        <f>IF(OR(L164="",U164=""),"",IF(E164="Short",(I164-L164)*U164,(L164-I164)*U164))</f>
        <v/>
      </c>
      <c r="X164" s="110">
        <f>IF(W164="","",W164-IF(M164="",0,M164))</f>
        <v/>
      </c>
      <c r="Y164" s="111">
        <f>IF(OR(X164="",H164="",H164=0),"",X164/H164)</f>
        <v/>
      </c>
      <c r="Z164" s="112">
        <f>IF(OR(I164="",J164="",U164=""),"",ABS(I164-J164)*U164)</f>
        <v/>
      </c>
      <c r="AA164" s="113">
        <f>IF(OR(X164="",Z164="",Z164=0),"",X164/Z164)</f>
        <v/>
      </c>
      <c r="AB164" s="114">
        <f>IF(OR(I164="",J164="",K164="",I164=J164),"",ABS(K164-I164)/ABS(I164-J164))</f>
        <v/>
      </c>
      <c r="AC164" s="51">
        <f>IF(OR(B164="",D164="",H164="",I164=""),"",IF(L164="","Ouvert",IF(X164&gt;0,"Gagné",IF(X164&lt;0,"Perdu","Neutre"))))</f>
        <v/>
      </c>
      <c r="AD164" s="115">
        <f>IF(X164="","",IF(C164="",B164,C164))</f>
        <v/>
      </c>
      <c r="AE164" s="109">
        <f>IF(B164="","",WEEKDAY(B164,2))</f>
        <v/>
      </c>
      <c r="AF164" s="112">
        <f>IF(X164="","",'Paramètres'!$C$9+SUM($X$6:X164))</f>
        <v/>
      </c>
      <c r="AG164" s="112">
        <f>IF(AF164="","",MAX('Paramètres'!$C$9,MAX($AF$6:AF164)))</f>
        <v/>
      </c>
      <c r="AH164" s="116">
        <f>IF(AF164="","",AF164/AG164-1)</f>
        <v/>
      </c>
      <c r="AI164" s="109">
        <f>IF(X164="","",IF(X164&gt;0,IF(N(AI163)&gt;0,N(AI163)+1,1),IF(X164&lt;0,IF(N(AI163)&lt;0,N(AI163)-1,-1),0)))</f>
        <v/>
      </c>
      <c r="AJ164" s="116">
        <f>IF(Z164="","",IFERROR(Z164/('Paramètres'!$C$9+SUM($X$5:X163)),""))</f>
        <v/>
      </c>
      <c r="AK164" s="109">
        <f>IF(AC164="Ouvert",COUNTIF($AC$6:AC164,"Ouvert"),"")</f>
        <v/>
      </c>
    </row>
    <row r="165" ht="19" customHeight="1">
      <c r="A165" s="104">
        <f>IF(B165="","",ROW()-5)</f>
        <v/>
      </c>
      <c r="B165" s="61" t="n"/>
      <c r="C165" s="61" t="n"/>
      <c r="D165" s="105" t="n"/>
      <c r="E165" s="49" t="n"/>
      <c r="F165" s="105" t="n"/>
      <c r="G165" s="49" t="n"/>
      <c r="H165" s="106" t="n"/>
      <c r="I165" s="107" t="n"/>
      <c r="J165" s="107" t="n"/>
      <c r="K165" s="107" t="n"/>
      <c r="L165" s="107" t="n"/>
      <c r="M165" s="106" t="n"/>
      <c r="N165" s="62" t="n"/>
      <c r="O165" s="49" t="n"/>
      <c r="P165" s="49" t="n"/>
      <c r="Q165" s="105" t="n"/>
      <c r="R165" s="105" t="n"/>
      <c r="S165" s="105" t="n"/>
      <c r="T165" s="105" t="n"/>
      <c r="U165" s="108">
        <f>IF(OR(H165="",I165="",I165=0),"",H165/I165)</f>
        <v/>
      </c>
      <c r="V165" s="109">
        <f>IF(OR(B165="",C165="",L165=""),"",MAX(0,C165-B165))</f>
        <v/>
      </c>
      <c r="W165" s="110">
        <f>IF(OR(L165="",U165=""),"",IF(E165="Short",(I165-L165)*U165,(L165-I165)*U165))</f>
        <v/>
      </c>
      <c r="X165" s="110">
        <f>IF(W165="","",W165-IF(M165="",0,M165))</f>
        <v/>
      </c>
      <c r="Y165" s="111">
        <f>IF(OR(X165="",H165="",H165=0),"",X165/H165)</f>
        <v/>
      </c>
      <c r="Z165" s="112">
        <f>IF(OR(I165="",J165="",U165=""),"",ABS(I165-J165)*U165)</f>
        <v/>
      </c>
      <c r="AA165" s="113">
        <f>IF(OR(X165="",Z165="",Z165=0),"",X165/Z165)</f>
        <v/>
      </c>
      <c r="AB165" s="114">
        <f>IF(OR(I165="",J165="",K165="",I165=J165),"",ABS(K165-I165)/ABS(I165-J165))</f>
        <v/>
      </c>
      <c r="AC165" s="51">
        <f>IF(OR(B165="",D165="",H165="",I165=""),"",IF(L165="","Ouvert",IF(X165&gt;0,"Gagné",IF(X165&lt;0,"Perdu","Neutre"))))</f>
        <v/>
      </c>
      <c r="AD165" s="115">
        <f>IF(X165="","",IF(C165="",B165,C165))</f>
        <v/>
      </c>
      <c r="AE165" s="109">
        <f>IF(B165="","",WEEKDAY(B165,2))</f>
        <v/>
      </c>
      <c r="AF165" s="112">
        <f>IF(X165="","",'Paramètres'!$C$9+SUM($X$6:X165))</f>
        <v/>
      </c>
      <c r="AG165" s="112">
        <f>IF(AF165="","",MAX('Paramètres'!$C$9,MAX($AF$6:AF165)))</f>
        <v/>
      </c>
      <c r="AH165" s="116">
        <f>IF(AF165="","",AF165/AG165-1)</f>
        <v/>
      </c>
      <c r="AI165" s="109">
        <f>IF(X165="","",IF(X165&gt;0,IF(N(AI164)&gt;0,N(AI164)+1,1),IF(X165&lt;0,IF(N(AI164)&lt;0,N(AI164)-1,-1),0)))</f>
        <v/>
      </c>
      <c r="AJ165" s="116">
        <f>IF(Z165="","",IFERROR(Z165/('Paramètres'!$C$9+SUM($X$5:X164)),""))</f>
        <v/>
      </c>
      <c r="AK165" s="109">
        <f>IF(AC165="Ouvert",COUNTIF($AC$6:AC165,"Ouvert"),"")</f>
        <v/>
      </c>
    </row>
    <row r="166" ht="19" customHeight="1">
      <c r="A166" s="104">
        <f>IF(B166="","",ROW()-5)</f>
        <v/>
      </c>
      <c r="B166" s="61" t="n"/>
      <c r="C166" s="61" t="n"/>
      <c r="D166" s="105" t="n"/>
      <c r="E166" s="49" t="n"/>
      <c r="F166" s="105" t="n"/>
      <c r="G166" s="49" t="n"/>
      <c r="H166" s="106" t="n"/>
      <c r="I166" s="107" t="n"/>
      <c r="J166" s="107" t="n"/>
      <c r="K166" s="107" t="n"/>
      <c r="L166" s="107" t="n"/>
      <c r="M166" s="106" t="n"/>
      <c r="N166" s="62" t="n"/>
      <c r="O166" s="49" t="n"/>
      <c r="P166" s="49" t="n"/>
      <c r="Q166" s="105" t="n"/>
      <c r="R166" s="105" t="n"/>
      <c r="S166" s="105" t="n"/>
      <c r="T166" s="105" t="n"/>
      <c r="U166" s="108">
        <f>IF(OR(H166="",I166="",I166=0),"",H166/I166)</f>
        <v/>
      </c>
      <c r="V166" s="109">
        <f>IF(OR(B166="",C166="",L166=""),"",MAX(0,C166-B166))</f>
        <v/>
      </c>
      <c r="W166" s="110">
        <f>IF(OR(L166="",U166=""),"",IF(E166="Short",(I166-L166)*U166,(L166-I166)*U166))</f>
        <v/>
      </c>
      <c r="X166" s="110">
        <f>IF(W166="","",W166-IF(M166="",0,M166))</f>
        <v/>
      </c>
      <c r="Y166" s="111">
        <f>IF(OR(X166="",H166="",H166=0),"",X166/H166)</f>
        <v/>
      </c>
      <c r="Z166" s="112">
        <f>IF(OR(I166="",J166="",U166=""),"",ABS(I166-J166)*U166)</f>
        <v/>
      </c>
      <c r="AA166" s="113">
        <f>IF(OR(X166="",Z166="",Z166=0),"",X166/Z166)</f>
        <v/>
      </c>
      <c r="AB166" s="114">
        <f>IF(OR(I166="",J166="",K166="",I166=J166),"",ABS(K166-I166)/ABS(I166-J166))</f>
        <v/>
      </c>
      <c r="AC166" s="51">
        <f>IF(OR(B166="",D166="",H166="",I166=""),"",IF(L166="","Ouvert",IF(X166&gt;0,"Gagné",IF(X166&lt;0,"Perdu","Neutre"))))</f>
        <v/>
      </c>
      <c r="AD166" s="115">
        <f>IF(X166="","",IF(C166="",B166,C166))</f>
        <v/>
      </c>
      <c r="AE166" s="109">
        <f>IF(B166="","",WEEKDAY(B166,2))</f>
        <v/>
      </c>
      <c r="AF166" s="112">
        <f>IF(X166="","",'Paramètres'!$C$9+SUM($X$6:X166))</f>
        <v/>
      </c>
      <c r="AG166" s="112">
        <f>IF(AF166="","",MAX('Paramètres'!$C$9,MAX($AF$6:AF166)))</f>
        <v/>
      </c>
      <c r="AH166" s="116">
        <f>IF(AF166="","",AF166/AG166-1)</f>
        <v/>
      </c>
      <c r="AI166" s="109">
        <f>IF(X166="","",IF(X166&gt;0,IF(N(AI165)&gt;0,N(AI165)+1,1),IF(X166&lt;0,IF(N(AI165)&lt;0,N(AI165)-1,-1),0)))</f>
        <v/>
      </c>
      <c r="AJ166" s="116">
        <f>IF(Z166="","",IFERROR(Z166/('Paramètres'!$C$9+SUM($X$5:X165)),""))</f>
        <v/>
      </c>
      <c r="AK166" s="109">
        <f>IF(AC166="Ouvert",COUNTIF($AC$6:AC166,"Ouvert"),"")</f>
        <v/>
      </c>
    </row>
    <row r="167" ht="19" customHeight="1">
      <c r="A167" s="104">
        <f>IF(B167="","",ROW()-5)</f>
        <v/>
      </c>
      <c r="B167" s="61" t="n"/>
      <c r="C167" s="61" t="n"/>
      <c r="D167" s="105" t="n"/>
      <c r="E167" s="49" t="n"/>
      <c r="F167" s="105" t="n"/>
      <c r="G167" s="49" t="n"/>
      <c r="H167" s="106" t="n"/>
      <c r="I167" s="107" t="n"/>
      <c r="J167" s="107" t="n"/>
      <c r="K167" s="107" t="n"/>
      <c r="L167" s="107" t="n"/>
      <c r="M167" s="106" t="n"/>
      <c r="N167" s="62" t="n"/>
      <c r="O167" s="49" t="n"/>
      <c r="P167" s="49" t="n"/>
      <c r="Q167" s="105" t="n"/>
      <c r="R167" s="105" t="n"/>
      <c r="S167" s="105" t="n"/>
      <c r="T167" s="105" t="n"/>
      <c r="U167" s="108">
        <f>IF(OR(H167="",I167="",I167=0),"",H167/I167)</f>
        <v/>
      </c>
      <c r="V167" s="109">
        <f>IF(OR(B167="",C167="",L167=""),"",MAX(0,C167-B167))</f>
        <v/>
      </c>
      <c r="W167" s="110">
        <f>IF(OR(L167="",U167=""),"",IF(E167="Short",(I167-L167)*U167,(L167-I167)*U167))</f>
        <v/>
      </c>
      <c r="X167" s="110">
        <f>IF(W167="","",W167-IF(M167="",0,M167))</f>
        <v/>
      </c>
      <c r="Y167" s="111">
        <f>IF(OR(X167="",H167="",H167=0),"",X167/H167)</f>
        <v/>
      </c>
      <c r="Z167" s="112">
        <f>IF(OR(I167="",J167="",U167=""),"",ABS(I167-J167)*U167)</f>
        <v/>
      </c>
      <c r="AA167" s="113">
        <f>IF(OR(X167="",Z167="",Z167=0),"",X167/Z167)</f>
        <v/>
      </c>
      <c r="AB167" s="114">
        <f>IF(OR(I167="",J167="",K167="",I167=J167),"",ABS(K167-I167)/ABS(I167-J167))</f>
        <v/>
      </c>
      <c r="AC167" s="51">
        <f>IF(OR(B167="",D167="",H167="",I167=""),"",IF(L167="","Ouvert",IF(X167&gt;0,"Gagné",IF(X167&lt;0,"Perdu","Neutre"))))</f>
        <v/>
      </c>
      <c r="AD167" s="115">
        <f>IF(X167="","",IF(C167="",B167,C167))</f>
        <v/>
      </c>
      <c r="AE167" s="109">
        <f>IF(B167="","",WEEKDAY(B167,2))</f>
        <v/>
      </c>
      <c r="AF167" s="112">
        <f>IF(X167="","",'Paramètres'!$C$9+SUM($X$6:X167))</f>
        <v/>
      </c>
      <c r="AG167" s="112">
        <f>IF(AF167="","",MAX('Paramètres'!$C$9,MAX($AF$6:AF167)))</f>
        <v/>
      </c>
      <c r="AH167" s="116">
        <f>IF(AF167="","",AF167/AG167-1)</f>
        <v/>
      </c>
      <c r="AI167" s="109">
        <f>IF(X167="","",IF(X167&gt;0,IF(N(AI166)&gt;0,N(AI166)+1,1),IF(X167&lt;0,IF(N(AI166)&lt;0,N(AI166)-1,-1),0)))</f>
        <v/>
      </c>
      <c r="AJ167" s="116">
        <f>IF(Z167="","",IFERROR(Z167/('Paramètres'!$C$9+SUM($X$5:X166)),""))</f>
        <v/>
      </c>
      <c r="AK167" s="109">
        <f>IF(AC167="Ouvert",COUNTIF($AC$6:AC167,"Ouvert"),"")</f>
        <v/>
      </c>
    </row>
    <row r="168" ht="19" customHeight="1">
      <c r="A168" s="104">
        <f>IF(B168="","",ROW()-5)</f>
        <v/>
      </c>
      <c r="B168" s="61" t="n"/>
      <c r="C168" s="61" t="n"/>
      <c r="D168" s="105" t="n"/>
      <c r="E168" s="49" t="n"/>
      <c r="F168" s="105" t="n"/>
      <c r="G168" s="49" t="n"/>
      <c r="H168" s="106" t="n"/>
      <c r="I168" s="107" t="n"/>
      <c r="J168" s="107" t="n"/>
      <c r="K168" s="107" t="n"/>
      <c r="L168" s="107" t="n"/>
      <c r="M168" s="106" t="n"/>
      <c r="N168" s="62" t="n"/>
      <c r="O168" s="49" t="n"/>
      <c r="P168" s="49" t="n"/>
      <c r="Q168" s="105" t="n"/>
      <c r="R168" s="105" t="n"/>
      <c r="S168" s="105" t="n"/>
      <c r="T168" s="105" t="n"/>
      <c r="U168" s="108">
        <f>IF(OR(H168="",I168="",I168=0),"",H168/I168)</f>
        <v/>
      </c>
      <c r="V168" s="109">
        <f>IF(OR(B168="",C168="",L168=""),"",MAX(0,C168-B168))</f>
        <v/>
      </c>
      <c r="W168" s="110">
        <f>IF(OR(L168="",U168=""),"",IF(E168="Short",(I168-L168)*U168,(L168-I168)*U168))</f>
        <v/>
      </c>
      <c r="X168" s="110">
        <f>IF(W168="","",W168-IF(M168="",0,M168))</f>
        <v/>
      </c>
      <c r="Y168" s="111">
        <f>IF(OR(X168="",H168="",H168=0),"",X168/H168)</f>
        <v/>
      </c>
      <c r="Z168" s="112">
        <f>IF(OR(I168="",J168="",U168=""),"",ABS(I168-J168)*U168)</f>
        <v/>
      </c>
      <c r="AA168" s="113">
        <f>IF(OR(X168="",Z168="",Z168=0),"",X168/Z168)</f>
        <v/>
      </c>
      <c r="AB168" s="114">
        <f>IF(OR(I168="",J168="",K168="",I168=J168),"",ABS(K168-I168)/ABS(I168-J168))</f>
        <v/>
      </c>
      <c r="AC168" s="51">
        <f>IF(OR(B168="",D168="",H168="",I168=""),"",IF(L168="","Ouvert",IF(X168&gt;0,"Gagné",IF(X168&lt;0,"Perdu","Neutre"))))</f>
        <v/>
      </c>
      <c r="AD168" s="115">
        <f>IF(X168="","",IF(C168="",B168,C168))</f>
        <v/>
      </c>
      <c r="AE168" s="109">
        <f>IF(B168="","",WEEKDAY(B168,2))</f>
        <v/>
      </c>
      <c r="AF168" s="112">
        <f>IF(X168="","",'Paramètres'!$C$9+SUM($X$6:X168))</f>
        <v/>
      </c>
      <c r="AG168" s="112">
        <f>IF(AF168="","",MAX('Paramètres'!$C$9,MAX($AF$6:AF168)))</f>
        <v/>
      </c>
      <c r="AH168" s="116">
        <f>IF(AF168="","",AF168/AG168-1)</f>
        <v/>
      </c>
      <c r="AI168" s="109">
        <f>IF(X168="","",IF(X168&gt;0,IF(N(AI167)&gt;0,N(AI167)+1,1),IF(X168&lt;0,IF(N(AI167)&lt;0,N(AI167)-1,-1),0)))</f>
        <v/>
      </c>
      <c r="AJ168" s="116">
        <f>IF(Z168="","",IFERROR(Z168/('Paramètres'!$C$9+SUM($X$5:X167)),""))</f>
        <v/>
      </c>
      <c r="AK168" s="109">
        <f>IF(AC168="Ouvert",COUNTIF($AC$6:AC168,"Ouvert"),"")</f>
        <v/>
      </c>
    </row>
    <row r="169" ht="19" customHeight="1">
      <c r="A169" s="104">
        <f>IF(B169="","",ROW()-5)</f>
        <v/>
      </c>
      <c r="B169" s="61" t="n"/>
      <c r="C169" s="61" t="n"/>
      <c r="D169" s="105" t="n"/>
      <c r="E169" s="49" t="n"/>
      <c r="F169" s="105" t="n"/>
      <c r="G169" s="49" t="n"/>
      <c r="H169" s="106" t="n"/>
      <c r="I169" s="107" t="n"/>
      <c r="J169" s="107" t="n"/>
      <c r="K169" s="107" t="n"/>
      <c r="L169" s="107" t="n"/>
      <c r="M169" s="106" t="n"/>
      <c r="N169" s="62" t="n"/>
      <c r="O169" s="49" t="n"/>
      <c r="P169" s="49" t="n"/>
      <c r="Q169" s="105" t="n"/>
      <c r="R169" s="105" t="n"/>
      <c r="S169" s="105" t="n"/>
      <c r="T169" s="105" t="n"/>
      <c r="U169" s="108">
        <f>IF(OR(H169="",I169="",I169=0),"",H169/I169)</f>
        <v/>
      </c>
      <c r="V169" s="109">
        <f>IF(OR(B169="",C169="",L169=""),"",MAX(0,C169-B169))</f>
        <v/>
      </c>
      <c r="W169" s="110">
        <f>IF(OR(L169="",U169=""),"",IF(E169="Short",(I169-L169)*U169,(L169-I169)*U169))</f>
        <v/>
      </c>
      <c r="X169" s="110">
        <f>IF(W169="","",W169-IF(M169="",0,M169))</f>
        <v/>
      </c>
      <c r="Y169" s="111">
        <f>IF(OR(X169="",H169="",H169=0),"",X169/H169)</f>
        <v/>
      </c>
      <c r="Z169" s="112">
        <f>IF(OR(I169="",J169="",U169=""),"",ABS(I169-J169)*U169)</f>
        <v/>
      </c>
      <c r="AA169" s="113">
        <f>IF(OR(X169="",Z169="",Z169=0),"",X169/Z169)</f>
        <v/>
      </c>
      <c r="AB169" s="114">
        <f>IF(OR(I169="",J169="",K169="",I169=J169),"",ABS(K169-I169)/ABS(I169-J169))</f>
        <v/>
      </c>
      <c r="AC169" s="51">
        <f>IF(OR(B169="",D169="",H169="",I169=""),"",IF(L169="","Ouvert",IF(X169&gt;0,"Gagné",IF(X169&lt;0,"Perdu","Neutre"))))</f>
        <v/>
      </c>
      <c r="AD169" s="115">
        <f>IF(X169="","",IF(C169="",B169,C169))</f>
        <v/>
      </c>
      <c r="AE169" s="109">
        <f>IF(B169="","",WEEKDAY(B169,2))</f>
        <v/>
      </c>
      <c r="AF169" s="112">
        <f>IF(X169="","",'Paramètres'!$C$9+SUM($X$6:X169))</f>
        <v/>
      </c>
      <c r="AG169" s="112">
        <f>IF(AF169="","",MAX('Paramètres'!$C$9,MAX($AF$6:AF169)))</f>
        <v/>
      </c>
      <c r="AH169" s="116">
        <f>IF(AF169="","",AF169/AG169-1)</f>
        <v/>
      </c>
      <c r="AI169" s="109">
        <f>IF(X169="","",IF(X169&gt;0,IF(N(AI168)&gt;0,N(AI168)+1,1),IF(X169&lt;0,IF(N(AI168)&lt;0,N(AI168)-1,-1),0)))</f>
        <v/>
      </c>
      <c r="AJ169" s="116">
        <f>IF(Z169="","",IFERROR(Z169/('Paramètres'!$C$9+SUM($X$5:X168)),""))</f>
        <v/>
      </c>
      <c r="AK169" s="109">
        <f>IF(AC169="Ouvert",COUNTIF($AC$6:AC169,"Ouvert"),"")</f>
        <v/>
      </c>
    </row>
    <row r="170" ht="19" customHeight="1">
      <c r="A170" s="104">
        <f>IF(B170="","",ROW()-5)</f>
        <v/>
      </c>
      <c r="B170" s="61" t="n"/>
      <c r="C170" s="61" t="n"/>
      <c r="D170" s="105" t="n"/>
      <c r="E170" s="49" t="n"/>
      <c r="F170" s="105" t="n"/>
      <c r="G170" s="49" t="n"/>
      <c r="H170" s="106" t="n"/>
      <c r="I170" s="107" t="n"/>
      <c r="J170" s="107" t="n"/>
      <c r="K170" s="107" t="n"/>
      <c r="L170" s="107" t="n"/>
      <c r="M170" s="106" t="n"/>
      <c r="N170" s="62" t="n"/>
      <c r="O170" s="49" t="n"/>
      <c r="P170" s="49" t="n"/>
      <c r="Q170" s="105" t="n"/>
      <c r="R170" s="105" t="n"/>
      <c r="S170" s="105" t="n"/>
      <c r="T170" s="105" t="n"/>
      <c r="U170" s="108">
        <f>IF(OR(H170="",I170="",I170=0),"",H170/I170)</f>
        <v/>
      </c>
      <c r="V170" s="109">
        <f>IF(OR(B170="",C170="",L170=""),"",MAX(0,C170-B170))</f>
        <v/>
      </c>
      <c r="W170" s="110">
        <f>IF(OR(L170="",U170=""),"",IF(E170="Short",(I170-L170)*U170,(L170-I170)*U170))</f>
        <v/>
      </c>
      <c r="X170" s="110">
        <f>IF(W170="","",W170-IF(M170="",0,M170))</f>
        <v/>
      </c>
      <c r="Y170" s="111">
        <f>IF(OR(X170="",H170="",H170=0),"",X170/H170)</f>
        <v/>
      </c>
      <c r="Z170" s="112">
        <f>IF(OR(I170="",J170="",U170=""),"",ABS(I170-J170)*U170)</f>
        <v/>
      </c>
      <c r="AA170" s="113">
        <f>IF(OR(X170="",Z170="",Z170=0),"",X170/Z170)</f>
        <v/>
      </c>
      <c r="AB170" s="114">
        <f>IF(OR(I170="",J170="",K170="",I170=J170),"",ABS(K170-I170)/ABS(I170-J170))</f>
        <v/>
      </c>
      <c r="AC170" s="51">
        <f>IF(OR(B170="",D170="",H170="",I170=""),"",IF(L170="","Ouvert",IF(X170&gt;0,"Gagné",IF(X170&lt;0,"Perdu","Neutre"))))</f>
        <v/>
      </c>
      <c r="AD170" s="115">
        <f>IF(X170="","",IF(C170="",B170,C170))</f>
        <v/>
      </c>
      <c r="AE170" s="109">
        <f>IF(B170="","",WEEKDAY(B170,2))</f>
        <v/>
      </c>
      <c r="AF170" s="112">
        <f>IF(X170="","",'Paramètres'!$C$9+SUM($X$6:X170))</f>
        <v/>
      </c>
      <c r="AG170" s="112">
        <f>IF(AF170="","",MAX('Paramètres'!$C$9,MAX($AF$6:AF170)))</f>
        <v/>
      </c>
      <c r="AH170" s="116">
        <f>IF(AF170="","",AF170/AG170-1)</f>
        <v/>
      </c>
      <c r="AI170" s="109">
        <f>IF(X170="","",IF(X170&gt;0,IF(N(AI169)&gt;0,N(AI169)+1,1),IF(X170&lt;0,IF(N(AI169)&lt;0,N(AI169)-1,-1),0)))</f>
        <v/>
      </c>
      <c r="AJ170" s="116">
        <f>IF(Z170="","",IFERROR(Z170/('Paramètres'!$C$9+SUM($X$5:X169)),""))</f>
        <v/>
      </c>
      <c r="AK170" s="109">
        <f>IF(AC170="Ouvert",COUNTIF($AC$6:AC170,"Ouvert"),"")</f>
        <v/>
      </c>
    </row>
    <row r="171" ht="19" customHeight="1">
      <c r="A171" s="104">
        <f>IF(B171="","",ROW()-5)</f>
        <v/>
      </c>
      <c r="B171" s="61" t="n"/>
      <c r="C171" s="61" t="n"/>
      <c r="D171" s="105" t="n"/>
      <c r="E171" s="49" t="n"/>
      <c r="F171" s="105" t="n"/>
      <c r="G171" s="49" t="n"/>
      <c r="H171" s="106" t="n"/>
      <c r="I171" s="107" t="n"/>
      <c r="J171" s="107" t="n"/>
      <c r="K171" s="107" t="n"/>
      <c r="L171" s="107" t="n"/>
      <c r="M171" s="106" t="n"/>
      <c r="N171" s="62" t="n"/>
      <c r="O171" s="49" t="n"/>
      <c r="P171" s="49" t="n"/>
      <c r="Q171" s="105" t="n"/>
      <c r="R171" s="105" t="n"/>
      <c r="S171" s="105" t="n"/>
      <c r="T171" s="105" t="n"/>
      <c r="U171" s="108">
        <f>IF(OR(H171="",I171="",I171=0),"",H171/I171)</f>
        <v/>
      </c>
      <c r="V171" s="109">
        <f>IF(OR(B171="",C171="",L171=""),"",MAX(0,C171-B171))</f>
        <v/>
      </c>
      <c r="W171" s="110">
        <f>IF(OR(L171="",U171=""),"",IF(E171="Short",(I171-L171)*U171,(L171-I171)*U171))</f>
        <v/>
      </c>
      <c r="X171" s="110">
        <f>IF(W171="","",W171-IF(M171="",0,M171))</f>
        <v/>
      </c>
      <c r="Y171" s="111">
        <f>IF(OR(X171="",H171="",H171=0),"",X171/H171)</f>
        <v/>
      </c>
      <c r="Z171" s="112">
        <f>IF(OR(I171="",J171="",U171=""),"",ABS(I171-J171)*U171)</f>
        <v/>
      </c>
      <c r="AA171" s="113">
        <f>IF(OR(X171="",Z171="",Z171=0),"",X171/Z171)</f>
        <v/>
      </c>
      <c r="AB171" s="114">
        <f>IF(OR(I171="",J171="",K171="",I171=J171),"",ABS(K171-I171)/ABS(I171-J171))</f>
        <v/>
      </c>
      <c r="AC171" s="51">
        <f>IF(OR(B171="",D171="",H171="",I171=""),"",IF(L171="","Ouvert",IF(X171&gt;0,"Gagné",IF(X171&lt;0,"Perdu","Neutre"))))</f>
        <v/>
      </c>
      <c r="AD171" s="115">
        <f>IF(X171="","",IF(C171="",B171,C171))</f>
        <v/>
      </c>
      <c r="AE171" s="109">
        <f>IF(B171="","",WEEKDAY(B171,2))</f>
        <v/>
      </c>
      <c r="AF171" s="112">
        <f>IF(X171="","",'Paramètres'!$C$9+SUM($X$6:X171))</f>
        <v/>
      </c>
      <c r="AG171" s="112">
        <f>IF(AF171="","",MAX('Paramètres'!$C$9,MAX($AF$6:AF171)))</f>
        <v/>
      </c>
      <c r="AH171" s="116">
        <f>IF(AF171="","",AF171/AG171-1)</f>
        <v/>
      </c>
      <c r="AI171" s="109">
        <f>IF(X171="","",IF(X171&gt;0,IF(N(AI170)&gt;0,N(AI170)+1,1),IF(X171&lt;0,IF(N(AI170)&lt;0,N(AI170)-1,-1),0)))</f>
        <v/>
      </c>
      <c r="AJ171" s="116">
        <f>IF(Z171="","",IFERROR(Z171/('Paramètres'!$C$9+SUM($X$5:X170)),""))</f>
        <v/>
      </c>
      <c r="AK171" s="109">
        <f>IF(AC171="Ouvert",COUNTIF($AC$6:AC171,"Ouvert"),"")</f>
        <v/>
      </c>
    </row>
    <row r="172" ht="19" customHeight="1">
      <c r="A172" s="104">
        <f>IF(B172="","",ROW()-5)</f>
        <v/>
      </c>
      <c r="B172" s="61" t="n"/>
      <c r="C172" s="61" t="n"/>
      <c r="D172" s="105" t="n"/>
      <c r="E172" s="49" t="n"/>
      <c r="F172" s="105" t="n"/>
      <c r="G172" s="49" t="n"/>
      <c r="H172" s="106" t="n"/>
      <c r="I172" s="107" t="n"/>
      <c r="J172" s="107" t="n"/>
      <c r="K172" s="107" t="n"/>
      <c r="L172" s="107" t="n"/>
      <c r="M172" s="106" t="n"/>
      <c r="N172" s="62" t="n"/>
      <c r="O172" s="49" t="n"/>
      <c r="P172" s="49" t="n"/>
      <c r="Q172" s="105" t="n"/>
      <c r="R172" s="105" t="n"/>
      <c r="S172" s="105" t="n"/>
      <c r="T172" s="105" t="n"/>
      <c r="U172" s="108">
        <f>IF(OR(H172="",I172="",I172=0),"",H172/I172)</f>
        <v/>
      </c>
      <c r="V172" s="109">
        <f>IF(OR(B172="",C172="",L172=""),"",MAX(0,C172-B172))</f>
        <v/>
      </c>
      <c r="W172" s="110">
        <f>IF(OR(L172="",U172=""),"",IF(E172="Short",(I172-L172)*U172,(L172-I172)*U172))</f>
        <v/>
      </c>
      <c r="X172" s="110">
        <f>IF(W172="","",W172-IF(M172="",0,M172))</f>
        <v/>
      </c>
      <c r="Y172" s="111">
        <f>IF(OR(X172="",H172="",H172=0),"",X172/H172)</f>
        <v/>
      </c>
      <c r="Z172" s="112">
        <f>IF(OR(I172="",J172="",U172=""),"",ABS(I172-J172)*U172)</f>
        <v/>
      </c>
      <c r="AA172" s="113">
        <f>IF(OR(X172="",Z172="",Z172=0),"",X172/Z172)</f>
        <v/>
      </c>
      <c r="AB172" s="114">
        <f>IF(OR(I172="",J172="",K172="",I172=J172),"",ABS(K172-I172)/ABS(I172-J172))</f>
        <v/>
      </c>
      <c r="AC172" s="51">
        <f>IF(OR(B172="",D172="",H172="",I172=""),"",IF(L172="","Ouvert",IF(X172&gt;0,"Gagné",IF(X172&lt;0,"Perdu","Neutre"))))</f>
        <v/>
      </c>
      <c r="AD172" s="115">
        <f>IF(X172="","",IF(C172="",B172,C172))</f>
        <v/>
      </c>
      <c r="AE172" s="109">
        <f>IF(B172="","",WEEKDAY(B172,2))</f>
        <v/>
      </c>
      <c r="AF172" s="112">
        <f>IF(X172="","",'Paramètres'!$C$9+SUM($X$6:X172))</f>
        <v/>
      </c>
      <c r="AG172" s="112">
        <f>IF(AF172="","",MAX('Paramètres'!$C$9,MAX($AF$6:AF172)))</f>
        <v/>
      </c>
      <c r="AH172" s="116">
        <f>IF(AF172="","",AF172/AG172-1)</f>
        <v/>
      </c>
      <c r="AI172" s="109">
        <f>IF(X172="","",IF(X172&gt;0,IF(N(AI171)&gt;0,N(AI171)+1,1),IF(X172&lt;0,IF(N(AI171)&lt;0,N(AI171)-1,-1),0)))</f>
        <v/>
      </c>
      <c r="AJ172" s="116">
        <f>IF(Z172="","",IFERROR(Z172/('Paramètres'!$C$9+SUM($X$5:X171)),""))</f>
        <v/>
      </c>
      <c r="AK172" s="109">
        <f>IF(AC172="Ouvert",COUNTIF($AC$6:AC172,"Ouvert"),"")</f>
        <v/>
      </c>
    </row>
    <row r="173" ht="19" customHeight="1">
      <c r="A173" s="104">
        <f>IF(B173="","",ROW()-5)</f>
        <v/>
      </c>
      <c r="B173" s="61" t="n"/>
      <c r="C173" s="61" t="n"/>
      <c r="D173" s="105" t="n"/>
      <c r="E173" s="49" t="n"/>
      <c r="F173" s="105" t="n"/>
      <c r="G173" s="49" t="n"/>
      <c r="H173" s="106" t="n"/>
      <c r="I173" s="107" t="n"/>
      <c r="J173" s="107" t="n"/>
      <c r="K173" s="107" t="n"/>
      <c r="L173" s="107" t="n"/>
      <c r="M173" s="106" t="n"/>
      <c r="N173" s="62" t="n"/>
      <c r="O173" s="49" t="n"/>
      <c r="P173" s="49" t="n"/>
      <c r="Q173" s="105" t="n"/>
      <c r="R173" s="105" t="n"/>
      <c r="S173" s="105" t="n"/>
      <c r="T173" s="105" t="n"/>
      <c r="U173" s="108">
        <f>IF(OR(H173="",I173="",I173=0),"",H173/I173)</f>
        <v/>
      </c>
      <c r="V173" s="109">
        <f>IF(OR(B173="",C173="",L173=""),"",MAX(0,C173-B173))</f>
        <v/>
      </c>
      <c r="W173" s="110">
        <f>IF(OR(L173="",U173=""),"",IF(E173="Short",(I173-L173)*U173,(L173-I173)*U173))</f>
        <v/>
      </c>
      <c r="X173" s="110">
        <f>IF(W173="","",W173-IF(M173="",0,M173))</f>
        <v/>
      </c>
      <c r="Y173" s="111">
        <f>IF(OR(X173="",H173="",H173=0),"",X173/H173)</f>
        <v/>
      </c>
      <c r="Z173" s="112">
        <f>IF(OR(I173="",J173="",U173=""),"",ABS(I173-J173)*U173)</f>
        <v/>
      </c>
      <c r="AA173" s="113">
        <f>IF(OR(X173="",Z173="",Z173=0),"",X173/Z173)</f>
        <v/>
      </c>
      <c r="AB173" s="114">
        <f>IF(OR(I173="",J173="",K173="",I173=J173),"",ABS(K173-I173)/ABS(I173-J173))</f>
        <v/>
      </c>
      <c r="AC173" s="51">
        <f>IF(OR(B173="",D173="",H173="",I173=""),"",IF(L173="","Ouvert",IF(X173&gt;0,"Gagné",IF(X173&lt;0,"Perdu","Neutre"))))</f>
        <v/>
      </c>
      <c r="AD173" s="115">
        <f>IF(X173="","",IF(C173="",B173,C173))</f>
        <v/>
      </c>
      <c r="AE173" s="109">
        <f>IF(B173="","",WEEKDAY(B173,2))</f>
        <v/>
      </c>
      <c r="AF173" s="112">
        <f>IF(X173="","",'Paramètres'!$C$9+SUM($X$6:X173))</f>
        <v/>
      </c>
      <c r="AG173" s="112">
        <f>IF(AF173="","",MAX('Paramètres'!$C$9,MAX($AF$6:AF173)))</f>
        <v/>
      </c>
      <c r="AH173" s="116">
        <f>IF(AF173="","",AF173/AG173-1)</f>
        <v/>
      </c>
      <c r="AI173" s="109">
        <f>IF(X173="","",IF(X173&gt;0,IF(N(AI172)&gt;0,N(AI172)+1,1),IF(X173&lt;0,IF(N(AI172)&lt;0,N(AI172)-1,-1),0)))</f>
        <v/>
      </c>
      <c r="AJ173" s="116">
        <f>IF(Z173="","",IFERROR(Z173/('Paramètres'!$C$9+SUM($X$5:X172)),""))</f>
        <v/>
      </c>
      <c r="AK173" s="109">
        <f>IF(AC173="Ouvert",COUNTIF($AC$6:AC173,"Ouvert"),"")</f>
        <v/>
      </c>
    </row>
    <row r="174" ht="19" customHeight="1">
      <c r="A174" s="104">
        <f>IF(B174="","",ROW()-5)</f>
        <v/>
      </c>
      <c r="B174" s="61" t="n"/>
      <c r="C174" s="61" t="n"/>
      <c r="D174" s="105" t="n"/>
      <c r="E174" s="49" t="n"/>
      <c r="F174" s="105" t="n"/>
      <c r="G174" s="49" t="n"/>
      <c r="H174" s="106" t="n"/>
      <c r="I174" s="107" t="n"/>
      <c r="J174" s="107" t="n"/>
      <c r="K174" s="107" t="n"/>
      <c r="L174" s="107" t="n"/>
      <c r="M174" s="106" t="n"/>
      <c r="N174" s="62" t="n"/>
      <c r="O174" s="49" t="n"/>
      <c r="P174" s="49" t="n"/>
      <c r="Q174" s="105" t="n"/>
      <c r="R174" s="105" t="n"/>
      <c r="S174" s="105" t="n"/>
      <c r="T174" s="105" t="n"/>
      <c r="U174" s="108">
        <f>IF(OR(H174="",I174="",I174=0),"",H174/I174)</f>
        <v/>
      </c>
      <c r="V174" s="109">
        <f>IF(OR(B174="",C174="",L174=""),"",MAX(0,C174-B174))</f>
        <v/>
      </c>
      <c r="W174" s="110">
        <f>IF(OR(L174="",U174=""),"",IF(E174="Short",(I174-L174)*U174,(L174-I174)*U174))</f>
        <v/>
      </c>
      <c r="X174" s="110">
        <f>IF(W174="","",W174-IF(M174="",0,M174))</f>
        <v/>
      </c>
      <c r="Y174" s="111">
        <f>IF(OR(X174="",H174="",H174=0),"",X174/H174)</f>
        <v/>
      </c>
      <c r="Z174" s="112">
        <f>IF(OR(I174="",J174="",U174=""),"",ABS(I174-J174)*U174)</f>
        <v/>
      </c>
      <c r="AA174" s="113">
        <f>IF(OR(X174="",Z174="",Z174=0),"",X174/Z174)</f>
        <v/>
      </c>
      <c r="AB174" s="114">
        <f>IF(OR(I174="",J174="",K174="",I174=J174),"",ABS(K174-I174)/ABS(I174-J174))</f>
        <v/>
      </c>
      <c r="AC174" s="51">
        <f>IF(OR(B174="",D174="",H174="",I174=""),"",IF(L174="","Ouvert",IF(X174&gt;0,"Gagné",IF(X174&lt;0,"Perdu","Neutre"))))</f>
        <v/>
      </c>
      <c r="AD174" s="115">
        <f>IF(X174="","",IF(C174="",B174,C174))</f>
        <v/>
      </c>
      <c r="AE174" s="109">
        <f>IF(B174="","",WEEKDAY(B174,2))</f>
        <v/>
      </c>
      <c r="AF174" s="112">
        <f>IF(X174="","",'Paramètres'!$C$9+SUM($X$6:X174))</f>
        <v/>
      </c>
      <c r="AG174" s="112">
        <f>IF(AF174="","",MAX('Paramètres'!$C$9,MAX($AF$6:AF174)))</f>
        <v/>
      </c>
      <c r="AH174" s="116">
        <f>IF(AF174="","",AF174/AG174-1)</f>
        <v/>
      </c>
      <c r="AI174" s="109">
        <f>IF(X174="","",IF(X174&gt;0,IF(N(AI173)&gt;0,N(AI173)+1,1),IF(X174&lt;0,IF(N(AI173)&lt;0,N(AI173)-1,-1),0)))</f>
        <v/>
      </c>
      <c r="AJ174" s="116">
        <f>IF(Z174="","",IFERROR(Z174/('Paramètres'!$C$9+SUM($X$5:X173)),""))</f>
        <v/>
      </c>
      <c r="AK174" s="109">
        <f>IF(AC174="Ouvert",COUNTIF($AC$6:AC174,"Ouvert"),"")</f>
        <v/>
      </c>
    </row>
    <row r="175" ht="19" customHeight="1">
      <c r="A175" s="104">
        <f>IF(B175="","",ROW()-5)</f>
        <v/>
      </c>
      <c r="B175" s="61" t="n"/>
      <c r="C175" s="61" t="n"/>
      <c r="D175" s="105" t="n"/>
      <c r="E175" s="49" t="n"/>
      <c r="F175" s="105" t="n"/>
      <c r="G175" s="49" t="n"/>
      <c r="H175" s="106" t="n"/>
      <c r="I175" s="107" t="n"/>
      <c r="J175" s="107" t="n"/>
      <c r="K175" s="107" t="n"/>
      <c r="L175" s="107" t="n"/>
      <c r="M175" s="106" t="n"/>
      <c r="N175" s="62" t="n"/>
      <c r="O175" s="49" t="n"/>
      <c r="P175" s="49" t="n"/>
      <c r="Q175" s="105" t="n"/>
      <c r="R175" s="105" t="n"/>
      <c r="S175" s="105" t="n"/>
      <c r="T175" s="105" t="n"/>
      <c r="U175" s="108">
        <f>IF(OR(H175="",I175="",I175=0),"",H175/I175)</f>
        <v/>
      </c>
      <c r="V175" s="109">
        <f>IF(OR(B175="",C175="",L175=""),"",MAX(0,C175-B175))</f>
        <v/>
      </c>
      <c r="W175" s="110">
        <f>IF(OR(L175="",U175=""),"",IF(E175="Short",(I175-L175)*U175,(L175-I175)*U175))</f>
        <v/>
      </c>
      <c r="X175" s="110">
        <f>IF(W175="","",W175-IF(M175="",0,M175))</f>
        <v/>
      </c>
      <c r="Y175" s="111">
        <f>IF(OR(X175="",H175="",H175=0),"",X175/H175)</f>
        <v/>
      </c>
      <c r="Z175" s="112">
        <f>IF(OR(I175="",J175="",U175=""),"",ABS(I175-J175)*U175)</f>
        <v/>
      </c>
      <c r="AA175" s="113">
        <f>IF(OR(X175="",Z175="",Z175=0),"",X175/Z175)</f>
        <v/>
      </c>
      <c r="AB175" s="114">
        <f>IF(OR(I175="",J175="",K175="",I175=J175),"",ABS(K175-I175)/ABS(I175-J175))</f>
        <v/>
      </c>
      <c r="AC175" s="51">
        <f>IF(OR(B175="",D175="",H175="",I175=""),"",IF(L175="","Ouvert",IF(X175&gt;0,"Gagné",IF(X175&lt;0,"Perdu","Neutre"))))</f>
        <v/>
      </c>
      <c r="AD175" s="115">
        <f>IF(X175="","",IF(C175="",B175,C175))</f>
        <v/>
      </c>
      <c r="AE175" s="109">
        <f>IF(B175="","",WEEKDAY(B175,2))</f>
        <v/>
      </c>
      <c r="AF175" s="112">
        <f>IF(X175="","",'Paramètres'!$C$9+SUM($X$6:X175))</f>
        <v/>
      </c>
      <c r="AG175" s="112">
        <f>IF(AF175="","",MAX('Paramètres'!$C$9,MAX($AF$6:AF175)))</f>
        <v/>
      </c>
      <c r="AH175" s="116">
        <f>IF(AF175="","",AF175/AG175-1)</f>
        <v/>
      </c>
      <c r="AI175" s="109">
        <f>IF(X175="","",IF(X175&gt;0,IF(N(AI174)&gt;0,N(AI174)+1,1),IF(X175&lt;0,IF(N(AI174)&lt;0,N(AI174)-1,-1),0)))</f>
        <v/>
      </c>
      <c r="AJ175" s="116">
        <f>IF(Z175="","",IFERROR(Z175/('Paramètres'!$C$9+SUM($X$5:X174)),""))</f>
        <v/>
      </c>
      <c r="AK175" s="109">
        <f>IF(AC175="Ouvert",COUNTIF($AC$6:AC175,"Ouvert"),"")</f>
        <v/>
      </c>
    </row>
    <row r="176" ht="19" customHeight="1">
      <c r="A176" s="104">
        <f>IF(B176="","",ROW()-5)</f>
        <v/>
      </c>
      <c r="B176" s="61" t="n"/>
      <c r="C176" s="61" t="n"/>
      <c r="D176" s="105" t="n"/>
      <c r="E176" s="49" t="n"/>
      <c r="F176" s="105" t="n"/>
      <c r="G176" s="49" t="n"/>
      <c r="H176" s="106" t="n"/>
      <c r="I176" s="107" t="n"/>
      <c r="J176" s="107" t="n"/>
      <c r="K176" s="107" t="n"/>
      <c r="L176" s="107" t="n"/>
      <c r="M176" s="106" t="n"/>
      <c r="N176" s="62" t="n"/>
      <c r="O176" s="49" t="n"/>
      <c r="P176" s="49" t="n"/>
      <c r="Q176" s="105" t="n"/>
      <c r="R176" s="105" t="n"/>
      <c r="S176" s="105" t="n"/>
      <c r="T176" s="105" t="n"/>
      <c r="U176" s="108">
        <f>IF(OR(H176="",I176="",I176=0),"",H176/I176)</f>
        <v/>
      </c>
      <c r="V176" s="109">
        <f>IF(OR(B176="",C176="",L176=""),"",MAX(0,C176-B176))</f>
        <v/>
      </c>
      <c r="W176" s="110">
        <f>IF(OR(L176="",U176=""),"",IF(E176="Short",(I176-L176)*U176,(L176-I176)*U176))</f>
        <v/>
      </c>
      <c r="X176" s="110">
        <f>IF(W176="","",W176-IF(M176="",0,M176))</f>
        <v/>
      </c>
      <c r="Y176" s="111">
        <f>IF(OR(X176="",H176="",H176=0),"",X176/H176)</f>
        <v/>
      </c>
      <c r="Z176" s="112">
        <f>IF(OR(I176="",J176="",U176=""),"",ABS(I176-J176)*U176)</f>
        <v/>
      </c>
      <c r="AA176" s="113">
        <f>IF(OR(X176="",Z176="",Z176=0),"",X176/Z176)</f>
        <v/>
      </c>
      <c r="AB176" s="114">
        <f>IF(OR(I176="",J176="",K176="",I176=J176),"",ABS(K176-I176)/ABS(I176-J176))</f>
        <v/>
      </c>
      <c r="AC176" s="51">
        <f>IF(OR(B176="",D176="",H176="",I176=""),"",IF(L176="","Ouvert",IF(X176&gt;0,"Gagné",IF(X176&lt;0,"Perdu","Neutre"))))</f>
        <v/>
      </c>
      <c r="AD176" s="115">
        <f>IF(X176="","",IF(C176="",B176,C176))</f>
        <v/>
      </c>
      <c r="AE176" s="109">
        <f>IF(B176="","",WEEKDAY(B176,2))</f>
        <v/>
      </c>
      <c r="AF176" s="112">
        <f>IF(X176="","",'Paramètres'!$C$9+SUM($X$6:X176))</f>
        <v/>
      </c>
      <c r="AG176" s="112">
        <f>IF(AF176="","",MAX('Paramètres'!$C$9,MAX($AF$6:AF176)))</f>
        <v/>
      </c>
      <c r="AH176" s="116">
        <f>IF(AF176="","",AF176/AG176-1)</f>
        <v/>
      </c>
      <c r="AI176" s="109">
        <f>IF(X176="","",IF(X176&gt;0,IF(N(AI175)&gt;0,N(AI175)+1,1),IF(X176&lt;0,IF(N(AI175)&lt;0,N(AI175)-1,-1),0)))</f>
        <v/>
      </c>
      <c r="AJ176" s="116">
        <f>IF(Z176="","",IFERROR(Z176/('Paramètres'!$C$9+SUM($X$5:X175)),""))</f>
        <v/>
      </c>
      <c r="AK176" s="109">
        <f>IF(AC176="Ouvert",COUNTIF($AC$6:AC176,"Ouvert"),"")</f>
        <v/>
      </c>
    </row>
    <row r="177" ht="19" customHeight="1">
      <c r="A177" s="104">
        <f>IF(B177="","",ROW()-5)</f>
        <v/>
      </c>
      <c r="B177" s="61" t="n"/>
      <c r="C177" s="61" t="n"/>
      <c r="D177" s="105" t="n"/>
      <c r="E177" s="49" t="n"/>
      <c r="F177" s="105" t="n"/>
      <c r="G177" s="49" t="n"/>
      <c r="H177" s="106" t="n"/>
      <c r="I177" s="107" t="n"/>
      <c r="J177" s="107" t="n"/>
      <c r="K177" s="107" t="n"/>
      <c r="L177" s="107" t="n"/>
      <c r="M177" s="106" t="n"/>
      <c r="N177" s="62" t="n"/>
      <c r="O177" s="49" t="n"/>
      <c r="P177" s="49" t="n"/>
      <c r="Q177" s="105" t="n"/>
      <c r="R177" s="105" t="n"/>
      <c r="S177" s="105" t="n"/>
      <c r="T177" s="105" t="n"/>
      <c r="U177" s="108">
        <f>IF(OR(H177="",I177="",I177=0),"",H177/I177)</f>
        <v/>
      </c>
      <c r="V177" s="109">
        <f>IF(OR(B177="",C177="",L177=""),"",MAX(0,C177-B177))</f>
        <v/>
      </c>
      <c r="W177" s="110">
        <f>IF(OR(L177="",U177=""),"",IF(E177="Short",(I177-L177)*U177,(L177-I177)*U177))</f>
        <v/>
      </c>
      <c r="X177" s="110">
        <f>IF(W177="","",W177-IF(M177="",0,M177))</f>
        <v/>
      </c>
      <c r="Y177" s="111">
        <f>IF(OR(X177="",H177="",H177=0),"",X177/H177)</f>
        <v/>
      </c>
      <c r="Z177" s="112">
        <f>IF(OR(I177="",J177="",U177=""),"",ABS(I177-J177)*U177)</f>
        <v/>
      </c>
      <c r="AA177" s="113">
        <f>IF(OR(X177="",Z177="",Z177=0),"",X177/Z177)</f>
        <v/>
      </c>
      <c r="AB177" s="114">
        <f>IF(OR(I177="",J177="",K177="",I177=J177),"",ABS(K177-I177)/ABS(I177-J177))</f>
        <v/>
      </c>
      <c r="AC177" s="51">
        <f>IF(OR(B177="",D177="",H177="",I177=""),"",IF(L177="","Ouvert",IF(X177&gt;0,"Gagné",IF(X177&lt;0,"Perdu","Neutre"))))</f>
        <v/>
      </c>
      <c r="AD177" s="115">
        <f>IF(X177="","",IF(C177="",B177,C177))</f>
        <v/>
      </c>
      <c r="AE177" s="109">
        <f>IF(B177="","",WEEKDAY(B177,2))</f>
        <v/>
      </c>
      <c r="AF177" s="112">
        <f>IF(X177="","",'Paramètres'!$C$9+SUM($X$6:X177))</f>
        <v/>
      </c>
      <c r="AG177" s="112">
        <f>IF(AF177="","",MAX('Paramètres'!$C$9,MAX($AF$6:AF177)))</f>
        <v/>
      </c>
      <c r="AH177" s="116">
        <f>IF(AF177="","",AF177/AG177-1)</f>
        <v/>
      </c>
      <c r="AI177" s="109">
        <f>IF(X177="","",IF(X177&gt;0,IF(N(AI176)&gt;0,N(AI176)+1,1),IF(X177&lt;0,IF(N(AI176)&lt;0,N(AI176)-1,-1),0)))</f>
        <v/>
      </c>
      <c r="AJ177" s="116">
        <f>IF(Z177="","",IFERROR(Z177/('Paramètres'!$C$9+SUM($X$5:X176)),""))</f>
        <v/>
      </c>
      <c r="AK177" s="109">
        <f>IF(AC177="Ouvert",COUNTIF($AC$6:AC177,"Ouvert"),"")</f>
        <v/>
      </c>
    </row>
    <row r="178" ht="19" customHeight="1">
      <c r="A178" s="104">
        <f>IF(B178="","",ROW()-5)</f>
        <v/>
      </c>
      <c r="B178" s="61" t="n"/>
      <c r="C178" s="61" t="n"/>
      <c r="D178" s="105" t="n"/>
      <c r="E178" s="49" t="n"/>
      <c r="F178" s="105" t="n"/>
      <c r="G178" s="49" t="n"/>
      <c r="H178" s="106" t="n"/>
      <c r="I178" s="107" t="n"/>
      <c r="J178" s="107" t="n"/>
      <c r="K178" s="107" t="n"/>
      <c r="L178" s="107" t="n"/>
      <c r="M178" s="106" t="n"/>
      <c r="N178" s="62" t="n"/>
      <c r="O178" s="49" t="n"/>
      <c r="P178" s="49" t="n"/>
      <c r="Q178" s="105" t="n"/>
      <c r="R178" s="105" t="n"/>
      <c r="S178" s="105" t="n"/>
      <c r="T178" s="105" t="n"/>
      <c r="U178" s="108">
        <f>IF(OR(H178="",I178="",I178=0),"",H178/I178)</f>
        <v/>
      </c>
      <c r="V178" s="109">
        <f>IF(OR(B178="",C178="",L178=""),"",MAX(0,C178-B178))</f>
        <v/>
      </c>
      <c r="W178" s="110">
        <f>IF(OR(L178="",U178=""),"",IF(E178="Short",(I178-L178)*U178,(L178-I178)*U178))</f>
        <v/>
      </c>
      <c r="X178" s="110">
        <f>IF(W178="","",W178-IF(M178="",0,M178))</f>
        <v/>
      </c>
      <c r="Y178" s="111">
        <f>IF(OR(X178="",H178="",H178=0),"",X178/H178)</f>
        <v/>
      </c>
      <c r="Z178" s="112">
        <f>IF(OR(I178="",J178="",U178=""),"",ABS(I178-J178)*U178)</f>
        <v/>
      </c>
      <c r="AA178" s="113">
        <f>IF(OR(X178="",Z178="",Z178=0),"",X178/Z178)</f>
        <v/>
      </c>
      <c r="AB178" s="114">
        <f>IF(OR(I178="",J178="",K178="",I178=J178),"",ABS(K178-I178)/ABS(I178-J178))</f>
        <v/>
      </c>
      <c r="AC178" s="51">
        <f>IF(OR(B178="",D178="",H178="",I178=""),"",IF(L178="","Ouvert",IF(X178&gt;0,"Gagné",IF(X178&lt;0,"Perdu","Neutre"))))</f>
        <v/>
      </c>
      <c r="AD178" s="115">
        <f>IF(X178="","",IF(C178="",B178,C178))</f>
        <v/>
      </c>
      <c r="AE178" s="109">
        <f>IF(B178="","",WEEKDAY(B178,2))</f>
        <v/>
      </c>
      <c r="AF178" s="112">
        <f>IF(X178="","",'Paramètres'!$C$9+SUM($X$6:X178))</f>
        <v/>
      </c>
      <c r="AG178" s="112">
        <f>IF(AF178="","",MAX('Paramètres'!$C$9,MAX($AF$6:AF178)))</f>
        <v/>
      </c>
      <c r="AH178" s="116">
        <f>IF(AF178="","",AF178/AG178-1)</f>
        <v/>
      </c>
      <c r="AI178" s="109">
        <f>IF(X178="","",IF(X178&gt;0,IF(N(AI177)&gt;0,N(AI177)+1,1),IF(X178&lt;0,IF(N(AI177)&lt;0,N(AI177)-1,-1),0)))</f>
        <v/>
      </c>
      <c r="AJ178" s="116">
        <f>IF(Z178="","",IFERROR(Z178/('Paramètres'!$C$9+SUM($X$5:X177)),""))</f>
        <v/>
      </c>
      <c r="AK178" s="109">
        <f>IF(AC178="Ouvert",COUNTIF($AC$6:AC178,"Ouvert"),"")</f>
        <v/>
      </c>
    </row>
    <row r="179" ht="19" customHeight="1">
      <c r="A179" s="104">
        <f>IF(B179="","",ROW()-5)</f>
        <v/>
      </c>
      <c r="B179" s="61" t="n"/>
      <c r="C179" s="61" t="n"/>
      <c r="D179" s="105" t="n"/>
      <c r="E179" s="49" t="n"/>
      <c r="F179" s="105" t="n"/>
      <c r="G179" s="49" t="n"/>
      <c r="H179" s="106" t="n"/>
      <c r="I179" s="107" t="n"/>
      <c r="J179" s="107" t="n"/>
      <c r="K179" s="107" t="n"/>
      <c r="L179" s="107" t="n"/>
      <c r="M179" s="106" t="n"/>
      <c r="N179" s="62" t="n"/>
      <c r="O179" s="49" t="n"/>
      <c r="P179" s="49" t="n"/>
      <c r="Q179" s="105" t="n"/>
      <c r="R179" s="105" t="n"/>
      <c r="S179" s="105" t="n"/>
      <c r="T179" s="105" t="n"/>
      <c r="U179" s="108">
        <f>IF(OR(H179="",I179="",I179=0),"",H179/I179)</f>
        <v/>
      </c>
      <c r="V179" s="109">
        <f>IF(OR(B179="",C179="",L179=""),"",MAX(0,C179-B179))</f>
        <v/>
      </c>
      <c r="W179" s="110">
        <f>IF(OR(L179="",U179=""),"",IF(E179="Short",(I179-L179)*U179,(L179-I179)*U179))</f>
        <v/>
      </c>
      <c r="X179" s="110">
        <f>IF(W179="","",W179-IF(M179="",0,M179))</f>
        <v/>
      </c>
      <c r="Y179" s="111">
        <f>IF(OR(X179="",H179="",H179=0),"",X179/H179)</f>
        <v/>
      </c>
      <c r="Z179" s="112">
        <f>IF(OR(I179="",J179="",U179=""),"",ABS(I179-J179)*U179)</f>
        <v/>
      </c>
      <c r="AA179" s="113">
        <f>IF(OR(X179="",Z179="",Z179=0),"",X179/Z179)</f>
        <v/>
      </c>
      <c r="AB179" s="114">
        <f>IF(OR(I179="",J179="",K179="",I179=J179),"",ABS(K179-I179)/ABS(I179-J179))</f>
        <v/>
      </c>
      <c r="AC179" s="51">
        <f>IF(OR(B179="",D179="",H179="",I179=""),"",IF(L179="","Ouvert",IF(X179&gt;0,"Gagné",IF(X179&lt;0,"Perdu","Neutre"))))</f>
        <v/>
      </c>
      <c r="AD179" s="115">
        <f>IF(X179="","",IF(C179="",B179,C179))</f>
        <v/>
      </c>
      <c r="AE179" s="109">
        <f>IF(B179="","",WEEKDAY(B179,2))</f>
        <v/>
      </c>
      <c r="AF179" s="112">
        <f>IF(X179="","",'Paramètres'!$C$9+SUM($X$6:X179))</f>
        <v/>
      </c>
      <c r="AG179" s="112">
        <f>IF(AF179="","",MAX('Paramètres'!$C$9,MAX($AF$6:AF179)))</f>
        <v/>
      </c>
      <c r="AH179" s="116">
        <f>IF(AF179="","",AF179/AG179-1)</f>
        <v/>
      </c>
      <c r="AI179" s="109">
        <f>IF(X179="","",IF(X179&gt;0,IF(N(AI178)&gt;0,N(AI178)+1,1),IF(X179&lt;0,IF(N(AI178)&lt;0,N(AI178)-1,-1),0)))</f>
        <v/>
      </c>
      <c r="AJ179" s="116">
        <f>IF(Z179="","",IFERROR(Z179/('Paramètres'!$C$9+SUM($X$5:X178)),""))</f>
        <v/>
      </c>
      <c r="AK179" s="109">
        <f>IF(AC179="Ouvert",COUNTIF($AC$6:AC179,"Ouvert"),"")</f>
        <v/>
      </c>
    </row>
    <row r="180" ht="19" customHeight="1">
      <c r="A180" s="104">
        <f>IF(B180="","",ROW()-5)</f>
        <v/>
      </c>
      <c r="B180" s="61" t="n"/>
      <c r="C180" s="61" t="n"/>
      <c r="D180" s="105" t="n"/>
      <c r="E180" s="49" t="n"/>
      <c r="F180" s="105" t="n"/>
      <c r="G180" s="49" t="n"/>
      <c r="H180" s="106" t="n"/>
      <c r="I180" s="107" t="n"/>
      <c r="J180" s="107" t="n"/>
      <c r="K180" s="107" t="n"/>
      <c r="L180" s="107" t="n"/>
      <c r="M180" s="106" t="n"/>
      <c r="N180" s="62" t="n"/>
      <c r="O180" s="49" t="n"/>
      <c r="P180" s="49" t="n"/>
      <c r="Q180" s="105" t="n"/>
      <c r="R180" s="105" t="n"/>
      <c r="S180" s="105" t="n"/>
      <c r="T180" s="105" t="n"/>
      <c r="U180" s="108">
        <f>IF(OR(H180="",I180="",I180=0),"",H180/I180)</f>
        <v/>
      </c>
      <c r="V180" s="109">
        <f>IF(OR(B180="",C180="",L180=""),"",MAX(0,C180-B180))</f>
        <v/>
      </c>
      <c r="W180" s="110">
        <f>IF(OR(L180="",U180=""),"",IF(E180="Short",(I180-L180)*U180,(L180-I180)*U180))</f>
        <v/>
      </c>
      <c r="X180" s="110">
        <f>IF(W180="","",W180-IF(M180="",0,M180))</f>
        <v/>
      </c>
      <c r="Y180" s="111">
        <f>IF(OR(X180="",H180="",H180=0),"",X180/H180)</f>
        <v/>
      </c>
      <c r="Z180" s="112">
        <f>IF(OR(I180="",J180="",U180=""),"",ABS(I180-J180)*U180)</f>
        <v/>
      </c>
      <c r="AA180" s="113">
        <f>IF(OR(X180="",Z180="",Z180=0),"",X180/Z180)</f>
        <v/>
      </c>
      <c r="AB180" s="114">
        <f>IF(OR(I180="",J180="",K180="",I180=J180),"",ABS(K180-I180)/ABS(I180-J180))</f>
        <v/>
      </c>
      <c r="AC180" s="51">
        <f>IF(OR(B180="",D180="",H180="",I180=""),"",IF(L180="","Ouvert",IF(X180&gt;0,"Gagné",IF(X180&lt;0,"Perdu","Neutre"))))</f>
        <v/>
      </c>
      <c r="AD180" s="115">
        <f>IF(X180="","",IF(C180="",B180,C180))</f>
        <v/>
      </c>
      <c r="AE180" s="109">
        <f>IF(B180="","",WEEKDAY(B180,2))</f>
        <v/>
      </c>
      <c r="AF180" s="112">
        <f>IF(X180="","",'Paramètres'!$C$9+SUM($X$6:X180))</f>
        <v/>
      </c>
      <c r="AG180" s="112">
        <f>IF(AF180="","",MAX('Paramètres'!$C$9,MAX($AF$6:AF180)))</f>
        <v/>
      </c>
      <c r="AH180" s="116">
        <f>IF(AF180="","",AF180/AG180-1)</f>
        <v/>
      </c>
      <c r="AI180" s="109">
        <f>IF(X180="","",IF(X180&gt;0,IF(N(AI179)&gt;0,N(AI179)+1,1),IF(X180&lt;0,IF(N(AI179)&lt;0,N(AI179)-1,-1),0)))</f>
        <v/>
      </c>
      <c r="AJ180" s="116">
        <f>IF(Z180="","",IFERROR(Z180/('Paramètres'!$C$9+SUM($X$5:X179)),""))</f>
        <v/>
      </c>
      <c r="AK180" s="109">
        <f>IF(AC180="Ouvert",COUNTIF($AC$6:AC180,"Ouvert"),"")</f>
        <v/>
      </c>
    </row>
    <row r="181" ht="19" customHeight="1">
      <c r="A181" s="104">
        <f>IF(B181="","",ROW()-5)</f>
        <v/>
      </c>
      <c r="B181" s="61" t="n"/>
      <c r="C181" s="61" t="n"/>
      <c r="D181" s="105" t="n"/>
      <c r="E181" s="49" t="n"/>
      <c r="F181" s="105" t="n"/>
      <c r="G181" s="49" t="n"/>
      <c r="H181" s="106" t="n"/>
      <c r="I181" s="107" t="n"/>
      <c r="J181" s="107" t="n"/>
      <c r="K181" s="107" t="n"/>
      <c r="L181" s="107" t="n"/>
      <c r="M181" s="106" t="n"/>
      <c r="N181" s="62" t="n"/>
      <c r="O181" s="49" t="n"/>
      <c r="P181" s="49" t="n"/>
      <c r="Q181" s="105" t="n"/>
      <c r="R181" s="105" t="n"/>
      <c r="S181" s="105" t="n"/>
      <c r="T181" s="105" t="n"/>
      <c r="U181" s="108">
        <f>IF(OR(H181="",I181="",I181=0),"",H181/I181)</f>
        <v/>
      </c>
      <c r="V181" s="109">
        <f>IF(OR(B181="",C181="",L181=""),"",MAX(0,C181-B181))</f>
        <v/>
      </c>
      <c r="W181" s="110">
        <f>IF(OR(L181="",U181=""),"",IF(E181="Short",(I181-L181)*U181,(L181-I181)*U181))</f>
        <v/>
      </c>
      <c r="X181" s="110">
        <f>IF(W181="","",W181-IF(M181="",0,M181))</f>
        <v/>
      </c>
      <c r="Y181" s="111">
        <f>IF(OR(X181="",H181="",H181=0),"",X181/H181)</f>
        <v/>
      </c>
      <c r="Z181" s="112">
        <f>IF(OR(I181="",J181="",U181=""),"",ABS(I181-J181)*U181)</f>
        <v/>
      </c>
      <c r="AA181" s="113">
        <f>IF(OR(X181="",Z181="",Z181=0),"",X181/Z181)</f>
        <v/>
      </c>
      <c r="AB181" s="114">
        <f>IF(OR(I181="",J181="",K181="",I181=J181),"",ABS(K181-I181)/ABS(I181-J181))</f>
        <v/>
      </c>
      <c r="AC181" s="51">
        <f>IF(OR(B181="",D181="",H181="",I181=""),"",IF(L181="","Ouvert",IF(X181&gt;0,"Gagné",IF(X181&lt;0,"Perdu","Neutre"))))</f>
        <v/>
      </c>
      <c r="AD181" s="115">
        <f>IF(X181="","",IF(C181="",B181,C181))</f>
        <v/>
      </c>
      <c r="AE181" s="109">
        <f>IF(B181="","",WEEKDAY(B181,2))</f>
        <v/>
      </c>
      <c r="AF181" s="112">
        <f>IF(X181="","",'Paramètres'!$C$9+SUM($X$6:X181))</f>
        <v/>
      </c>
      <c r="AG181" s="112">
        <f>IF(AF181="","",MAX('Paramètres'!$C$9,MAX($AF$6:AF181)))</f>
        <v/>
      </c>
      <c r="AH181" s="116">
        <f>IF(AF181="","",AF181/AG181-1)</f>
        <v/>
      </c>
      <c r="AI181" s="109">
        <f>IF(X181="","",IF(X181&gt;0,IF(N(AI180)&gt;0,N(AI180)+1,1),IF(X181&lt;0,IF(N(AI180)&lt;0,N(AI180)-1,-1),0)))</f>
        <v/>
      </c>
      <c r="AJ181" s="116">
        <f>IF(Z181="","",IFERROR(Z181/('Paramètres'!$C$9+SUM($X$5:X180)),""))</f>
        <v/>
      </c>
      <c r="AK181" s="109">
        <f>IF(AC181="Ouvert",COUNTIF($AC$6:AC181,"Ouvert"),"")</f>
        <v/>
      </c>
    </row>
    <row r="182" ht="19" customHeight="1">
      <c r="A182" s="104">
        <f>IF(B182="","",ROW()-5)</f>
        <v/>
      </c>
      <c r="B182" s="61" t="n"/>
      <c r="C182" s="61" t="n"/>
      <c r="D182" s="105" t="n"/>
      <c r="E182" s="49" t="n"/>
      <c r="F182" s="105" t="n"/>
      <c r="G182" s="49" t="n"/>
      <c r="H182" s="106" t="n"/>
      <c r="I182" s="107" t="n"/>
      <c r="J182" s="107" t="n"/>
      <c r="K182" s="107" t="n"/>
      <c r="L182" s="107" t="n"/>
      <c r="M182" s="106" t="n"/>
      <c r="N182" s="62" t="n"/>
      <c r="O182" s="49" t="n"/>
      <c r="P182" s="49" t="n"/>
      <c r="Q182" s="105" t="n"/>
      <c r="R182" s="105" t="n"/>
      <c r="S182" s="105" t="n"/>
      <c r="T182" s="105" t="n"/>
      <c r="U182" s="108">
        <f>IF(OR(H182="",I182="",I182=0),"",H182/I182)</f>
        <v/>
      </c>
      <c r="V182" s="109">
        <f>IF(OR(B182="",C182="",L182=""),"",MAX(0,C182-B182))</f>
        <v/>
      </c>
      <c r="W182" s="110">
        <f>IF(OR(L182="",U182=""),"",IF(E182="Short",(I182-L182)*U182,(L182-I182)*U182))</f>
        <v/>
      </c>
      <c r="X182" s="110">
        <f>IF(W182="","",W182-IF(M182="",0,M182))</f>
        <v/>
      </c>
      <c r="Y182" s="111">
        <f>IF(OR(X182="",H182="",H182=0),"",X182/H182)</f>
        <v/>
      </c>
      <c r="Z182" s="112">
        <f>IF(OR(I182="",J182="",U182=""),"",ABS(I182-J182)*U182)</f>
        <v/>
      </c>
      <c r="AA182" s="113">
        <f>IF(OR(X182="",Z182="",Z182=0),"",X182/Z182)</f>
        <v/>
      </c>
      <c r="AB182" s="114">
        <f>IF(OR(I182="",J182="",K182="",I182=J182),"",ABS(K182-I182)/ABS(I182-J182))</f>
        <v/>
      </c>
      <c r="AC182" s="51">
        <f>IF(OR(B182="",D182="",H182="",I182=""),"",IF(L182="","Ouvert",IF(X182&gt;0,"Gagné",IF(X182&lt;0,"Perdu","Neutre"))))</f>
        <v/>
      </c>
      <c r="AD182" s="115">
        <f>IF(X182="","",IF(C182="",B182,C182))</f>
        <v/>
      </c>
      <c r="AE182" s="109">
        <f>IF(B182="","",WEEKDAY(B182,2))</f>
        <v/>
      </c>
      <c r="AF182" s="112">
        <f>IF(X182="","",'Paramètres'!$C$9+SUM($X$6:X182))</f>
        <v/>
      </c>
      <c r="AG182" s="112">
        <f>IF(AF182="","",MAX('Paramètres'!$C$9,MAX($AF$6:AF182)))</f>
        <v/>
      </c>
      <c r="AH182" s="116">
        <f>IF(AF182="","",AF182/AG182-1)</f>
        <v/>
      </c>
      <c r="AI182" s="109">
        <f>IF(X182="","",IF(X182&gt;0,IF(N(AI181)&gt;0,N(AI181)+1,1),IF(X182&lt;0,IF(N(AI181)&lt;0,N(AI181)-1,-1),0)))</f>
        <v/>
      </c>
      <c r="AJ182" s="116">
        <f>IF(Z182="","",IFERROR(Z182/('Paramètres'!$C$9+SUM($X$5:X181)),""))</f>
        <v/>
      </c>
      <c r="AK182" s="109">
        <f>IF(AC182="Ouvert",COUNTIF($AC$6:AC182,"Ouvert"),"")</f>
        <v/>
      </c>
    </row>
    <row r="183" ht="19" customHeight="1">
      <c r="A183" s="104">
        <f>IF(B183="","",ROW()-5)</f>
        <v/>
      </c>
      <c r="B183" s="61" t="n"/>
      <c r="C183" s="61" t="n"/>
      <c r="D183" s="105" t="n"/>
      <c r="E183" s="49" t="n"/>
      <c r="F183" s="105" t="n"/>
      <c r="G183" s="49" t="n"/>
      <c r="H183" s="106" t="n"/>
      <c r="I183" s="107" t="n"/>
      <c r="J183" s="107" t="n"/>
      <c r="K183" s="107" t="n"/>
      <c r="L183" s="107" t="n"/>
      <c r="M183" s="106" t="n"/>
      <c r="N183" s="62" t="n"/>
      <c r="O183" s="49" t="n"/>
      <c r="P183" s="49" t="n"/>
      <c r="Q183" s="105" t="n"/>
      <c r="R183" s="105" t="n"/>
      <c r="S183" s="105" t="n"/>
      <c r="T183" s="105" t="n"/>
      <c r="U183" s="108">
        <f>IF(OR(H183="",I183="",I183=0),"",H183/I183)</f>
        <v/>
      </c>
      <c r="V183" s="109">
        <f>IF(OR(B183="",C183="",L183=""),"",MAX(0,C183-B183))</f>
        <v/>
      </c>
      <c r="W183" s="110">
        <f>IF(OR(L183="",U183=""),"",IF(E183="Short",(I183-L183)*U183,(L183-I183)*U183))</f>
        <v/>
      </c>
      <c r="X183" s="110">
        <f>IF(W183="","",W183-IF(M183="",0,M183))</f>
        <v/>
      </c>
      <c r="Y183" s="111">
        <f>IF(OR(X183="",H183="",H183=0),"",X183/H183)</f>
        <v/>
      </c>
      <c r="Z183" s="112">
        <f>IF(OR(I183="",J183="",U183=""),"",ABS(I183-J183)*U183)</f>
        <v/>
      </c>
      <c r="AA183" s="113">
        <f>IF(OR(X183="",Z183="",Z183=0),"",X183/Z183)</f>
        <v/>
      </c>
      <c r="AB183" s="114">
        <f>IF(OR(I183="",J183="",K183="",I183=J183),"",ABS(K183-I183)/ABS(I183-J183))</f>
        <v/>
      </c>
      <c r="AC183" s="51">
        <f>IF(OR(B183="",D183="",H183="",I183=""),"",IF(L183="","Ouvert",IF(X183&gt;0,"Gagné",IF(X183&lt;0,"Perdu","Neutre"))))</f>
        <v/>
      </c>
      <c r="AD183" s="115">
        <f>IF(X183="","",IF(C183="",B183,C183))</f>
        <v/>
      </c>
      <c r="AE183" s="109">
        <f>IF(B183="","",WEEKDAY(B183,2))</f>
        <v/>
      </c>
      <c r="AF183" s="112">
        <f>IF(X183="","",'Paramètres'!$C$9+SUM($X$6:X183))</f>
        <v/>
      </c>
      <c r="AG183" s="112">
        <f>IF(AF183="","",MAX('Paramètres'!$C$9,MAX($AF$6:AF183)))</f>
        <v/>
      </c>
      <c r="AH183" s="116">
        <f>IF(AF183="","",AF183/AG183-1)</f>
        <v/>
      </c>
      <c r="AI183" s="109">
        <f>IF(X183="","",IF(X183&gt;0,IF(N(AI182)&gt;0,N(AI182)+1,1),IF(X183&lt;0,IF(N(AI182)&lt;0,N(AI182)-1,-1),0)))</f>
        <v/>
      </c>
      <c r="AJ183" s="116">
        <f>IF(Z183="","",IFERROR(Z183/('Paramètres'!$C$9+SUM($X$5:X182)),""))</f>
        <v/>
      </c>
      <c r="AK183" s="109">
        <f>IF(AC183="Ouvert",COUNTIF($AC$6:AC183,"Ouvert"),"")</f>
        <v/>
      </c>
    </row>
    <row r="184" ht="19" customHeight="1">
      <c r="A184" s="104">
        <f>IF(B184="","",ROW()-5)</f>
        <v/>
      </c>
      <c r="B184" s="61" t="n"/>
      <c r="C184" s="61" t="n"/>
      <c r="D184" s="105" t="n"/>
      <c r="E184" s="49" t="n"/>
      <c r="F184" s="105" t="n"/>
      <c r="G184" s="49" t="n"/>
      <c r="H184" s="106" t="n"/>
      <c r="I184" s="107" t="n"/>
      <c r="J184" s="107" t="n"/>
      <c r="K184" s="107" t="n"/>
      <c r="L184" s="107" t="n"/>
      <c r="M184" s="106" t="n"/>
      <c r="N184" s="62" t="n"/>
      <c r="O184" s="49" t="n"/>
      <c r="P184" s="49" t="n"/>
      <c r="Q184" s="105" t="n"/>
      <c r="R184" s="105" t="n"/>
      <c r="S184" s="105" t="n"/>
      <c r="T184" s="105" t="n"/>
      <c r="U184" s="108">
        <f>IF(OR(H184="",I184="",I184=0),"",H184/I184)</f>
        <v/>
      </c>
      <c r="V184" s="109">
        <f>IF(OR(B184="",C184="",L184=""),"",MAX(0,C184-B184))</f>
        <v/>
      </c>
      <c r="W184" s="110">
        <f>IF(OR(L184="",U184=""),"",IF(E184="Short",(I184-L184)*U184,(L184-I184)*U184))</f>
        <v/>
      </c>
      <c r="X184" s="110">
        <f>IF(W184="","",W184-IF(M184="",0,M184))</f>
        <v/>
      </c>
      <c r="Y184" s="111">
        <f>IF(OR(X184="",H184="",H184=0),"",X184/H184)</f>
        <v/>
      </c>
      <c r="Z184" s="112">
        <f>IF(OR(I184="",J184="",U184=""),"",ABS(I184-J184)*U184)</f>
        <v/>
      </c>
      <c r="AA184" s="113">
        <f>IF(OR(X184="",Z184="",Z184=0),"",X184/Z184)</f>
        <v/>
      </c>
      <c r="AB184" s="114">
        <f>IF(OR(I184="",J184="",K184="",I184=J184),"",ABS(K184-I184)/ABS(I184-J184))</f>
        <v/>
      </c>
      <c r="AC184" s="51">
        <f>IF(OR(B184="",D184="",H184="",I184=""),"",IF(L184="","Ouvert",IF(X184&gt;0,"Gagné",IF(X184&lt;0,"Perdu","Neutre"))))</f>
        <v/>
      </c>
      <c r="AD184" s="115">
        <f>IF(X184="","",IF(C184="",B184,C184))</f>
        <v/>
      </c>
      <c r="AE184" s="109">
        <f>IF(B184="","",WEEKDAY(B184,2))</f>
        <v/>
      </c>
      <c r="AF184" s="112">
        <f>IF(X184="","",'Paramètres'!$C$9+SUM($X$6:X184))</f>
        <v/>
      </c>
      <c r="AG184" s="112">
        <f>IF(AF184="","",MAX('Paramètres'!$C$9,MAX($AF$6:AF184)))</f>
        <v/>
      </c>
      <c r="AH184" s="116">
        <f>IF(AF184="","",AF184/AG184-1)</f>
        <v/>
      </c>
      <c r="AI184" s="109">
        <f>IF(X184="","",IF(X184&gt;0,IF(N(AI183)&gt;0,N(AI183)+1,1),IF(X184&lt;0,IF(N(AI183)&lt;0,N(AI183)-1,-1),0)))</f>
        <v/>
      </c>
      <c r="AJ184" s="116">
        <f>IF(Z184="","",IFERROR(Z184/('Paramètres'!$C$9+SUM($X$5:X183)),""))</f>
        <v/>
      </c>
      <c r="AK184" s="109">
        <f>IF(AC184="Ouvert",COUNTIF($AC$6:AC184,"Ouvert"),"")</f>
        <v/>
      </c>
    </row>
    <row r="185" ht="19" customHeight="1">
      <c r="A185" s="104">
        <f>IF(B185="","",ROW()-5)</f>
        <v/>
      </c>
      <c r="B185" s="61" t="n"/>
      <c r="C185" s="61" t="n"/>
      <c r="D185" s="105" t="n"/>
      <c r="E185" s="49" t="n"/>
      <c r="F185" s="105" t="n"/>
      <c r="G185" s="49" t="n"/>
      <c r="H185" s="106" t="n"/>
      <c r="I185" s="107" t="n"/>
      <c r="J185" s="107" t="n"/>
      <c r="K185" s="107" t="n"/>
      <c r="L185" s="107" t="n"/>
      <c r="M185" s="106" t="n"/>
      <c r="N185" s="62" t="n"/>
      <c r="O185" s="49" t="n"/>
      <c r="P185" s="49" t="n"/>
      <c r="Q185" s="105" t="n"/>
      <c r="R185" s="105" t="n"/>
      <c r="S185" s="105" t="n"/>
      <c r="T185" s="105" t="n"/>
      <c r="U185" s="108">
        <f>IF(OR(H185="",I185="",I185=0),"",H185/I185)</f>
        <v/>
      </c>
      <c r="V185" s="109">
        <f>IF(OR(B185="",C185="",L185=""),"",MAX(0,C185-B185))</f>
        <v/>
      </c>
      <c r="W185" s="110">
        <f>IF(OR(L185="",U185=""),"",IF(E185="Short",(I185-L185)*U185,(L185-I185)*U185))</f>
        <v/>
      </c>
      <c r="X185" s="110">
        <f>IF(W185="","",W185-IF(M185="",0,M185))</f>
        <v/>
      </c>
      <c r="Y185" s="111">
        <f>IF(OR(X185="",H185="",H185=0),"",X185/H185)</f>
        <v/>
      </c>
      <c r="Z185" s="112">
        <f>IF(OR(I185="",J185="",U185=""),"",ABS(I185-J185)*U185)</f>
        <v/>
      </c>
      <c r="AA185" s="113">
        <f>IF(OR(X185="",Z185="",Z185=0),"",X185/Z185)</f>
        <v/>
      </c>
      <c r="AB185" s="114">
        <f>IF(OR(I185="",J185="",K185="",I185=J185),"",ABS(K185-I185)/ABS(I185-J185))</f>
        <v/>
      </c>
      <c r="AC185" s="51">
        <f>IF(OR(B185="",D185="",H185="",I185=""),"",IF(L185="","Ouvert",IF(X185&gt;0,"Gagné",IF(X185&lt;0,"Perdu","Neutre"))))</f>
        <v/>
      </c>
      <c r="AD185" s="115">
        <f>IF(X185="","",IF(C185="",B185,C185))</f>
        <v/>
      </c>
      <c r="AE185" s="109">
        <f>IF(B185="","",WEEKDAY(B185,2))</f>
        <v/>
      </c>
      <c r="AF185" s="112">
        <f>IF(X185="","",'Paramètres'!$C$9+SUM($X$6:X185))</f>
        <v/>
      </c>
      <c r="AG185" s="112">
        <f>IF(AF185="","",MAX('Paramètres'!$C$9,MAX($AF$6:AF185)))</f>
        <v/>
      </c>
      <c r="AH185" s="116">
        <f>IF(AF185="","",AF185/AG185-1)</f>
        <v/>
      </c>
      <c r="AI185" s="109">
        <f>IF(X185="","",IF(X185&gt;0,IF(N(AI184)&gt;0,N(AI184)+1,1),IF(X185&lt;0,IF(N(AI184)&lt;0,N(AI184)-1,-1),0)))</f>
        <v/>
      </c>
      <c r="AJ185" s="116">
        <f>IF(Z185="","",IFERROR(Z185/('Paramètres'!$C$9+SUM($X$5:X184)),""))</f>
        <v/>
      </c>
      <c r="AK185" s="109">
        <f>IF(AC185="Ouvert",COUNTIF($AC$6:AC185,"Ouvert"),"")</f>
        <v/>
      </c>
    </row>
    <row r="186" ht="19" customHeight="1">
      <c r="A186" s="104">
        <f>IF(B186="","",ROW()-5)</f>
        <v/>
      </c>
      <c r="B186" s="61" t="n"/>
      <c r="C186" s="61" t="n"/>
      <c r="D186" s="105" t="n"/>
      <c r="E186" s="49" t="n"/>
      <c r="F186" s="105" t="n"/>
      <c r="G186" s="49" t="n"/>
      <c r="H186" s="106" t="n"/>
      <c r="I186" s="107" t="n"/>
      <c r="J186" s="107" t="n"/>
      <c r="K186" s="107" t="n"/>
      <c r="L186" s="107" t="n"/>
      <c r="M186" s="106" t="n"/>
      <c r="N186" s="62" t="n"/>
      <c r="O186" s="49" t="n"/>
      <c r="P186" s="49" t="n"/>
      <c r="Q186" s="105" t="n"/>
      <c r="R186" s="105" t="n"/>
      <c r="S186" s="105" t="n"/>
      <c r="T186" s="105" t="n"/>
      <c r="U186" s="108">
        <f>IF(OR(H186="",I186="",I186=0),"",H186/I186)</f>
        <v/>
      </c>
      <c r="V186" s="109">
        <f>IF(OR(B186="",C186="",L186=""),"",MAX(0,C186-B186))</f>
        <v/>
      </c>
      <c r="W186" s="110">
        <f>IF(OR(L186="",U186=""),"",IF(E186="Short",(I186-L186)*U186,(L186-I186)*U186))</f>
        <v/>
      </c>
      <c r="X186" s="110">
        <f>IF(W186="","",W186-IF(M186="",0,M186))</f>
        <v/>
      </c>
      <c r="Y186" s="111">
        <f>IF(OR(X186="",H186="",H186=0),"",X186/H186)</f>
        <v/>
      </c>
      <c r="Z186" s="112">
        <f>IF(OR(I186="",J186="",U186=""),"",ABS(I186-J186)*U186)</f>
        <v/>
      </c>
      <c r="AA186" s="113">
        <f>IF(OR(X186="",Z186="",Z186=0),"",X186/Z186)</f>
        <v/>
      </c>
      <c r="AB186" s="114">
        <f>IF(OR(I186="",J186="",K186="",I186=J186),"",ABS(K186-I186)/ABS(I186-J186))</f>
        <v/>
      </c>
      <c r="AC186" s="51">
        <f>IF(OR(B186="",D186="",H186="",I186=""),"",IF(L186="","Ouvert",IF(X186&gt;0,"Gagné",IF(X186&lt;0,"Perdu","Neutre"))))</f>
        <v/>
      </c>
      <c r="AD186" s="115">
        <f>IF(X186="","",IF(C186="",B186,C186))</f>
        <v/>
      </c>
      <c r="AE186" s="109">
        <f>IF(B186="","",WEEKDAY(B186,2))</f>
        <v/>
      </c>
      <c r="AF186" s="112">
        <f>IF(X186="","",'Paramètres'!$C$9+SUM($X$6:X186))</f>
        <v/>
      </c>
      <c r="AG186" s="112">
        <f>IF(AF186="","",MAX('Paramètres'!$C$9,MAX($AF$6:AF186)))</f>
        <v/>
      </c>
      <c r="AH186" s="116">
        <f>IF(AF186="","",AF186/AG186-1)</f>
        <v/>
      </c>
      <c r="AI186" s="109">
        <f>IF(X186="","",IF(X186&gt;0,IF(N(AI185)&gt;0,N(AI185)+1,1),IF(X186&lt;0,IF(N(AI185)&lt;0,N(AI185)-1,-1),0)))</f>
        <v/>
      </c>
      <c r="AJ186" s="116">
        <f>IF(Z186="","",IFERROR(Z186/('Paramètres'!$C$9+SUM($X$5:X185)),""))</f>
        <v/>
      </c>
      <c r="AK186" s="109">
        <f>IF(AC186="Ouvert",COUNTIF($AC$6:AC186,"Ouvert"),"")</f>
        <v/>
      </c>
    </row>
    <row r="187" ht="19" customHeight="1">
      <c r="A187" s="104">
        <f>IF(B187="","",ROW()-5)</f>
        <v/>
      </c>
      <c r="B187" s="61" t="n"/>
      <c r="C187" s="61" t="n"/>
      <c r="D187" s="105" t="n"/>
      <c r="E187" s="49" t="n"/>
      <c r="F187" s="105" t="n"/>
      <c r="G187" s="49" t="n"/>
      <c r="H187" s="106" t="n"/>
      <c r="I187" s="107" t="n"/>
      <c r="J187" s="107" t="n"/>
      <c r="K187" s="107" t="n"/>
      <c r="L187" s="107" t="n"/>
      <c r="M187" s="106" t="n"/>
      <c r="N187" s="62" t="n"/>
      <c r="O187" s="49" t="n"/>
      <c r="P187" s="49" t="n"/>
      <c r="Q187" s="105" t="n"/>
      <c r="R187" s="105" t="n"/>
      <c r="S187" s="105" t="n"/>
      <c r="T187" s="105" t="n"/>
      <c r="U187" s="108">
        <f>IF(OR(H187="",I187="",I187=0),"",H187/I187)</f>
        <v/>
      </c>
      <c r="V187" s="109">
        <f>IF(OR(B187="",C187="",L187=""),"",MAX(0,C187-B187))</f>
        <v/>
      </c>
      <c r="W187" s="110">
        <f>IF(OR(L187="",U187=""),"",IF(E187="Short",(I187-L187)*U187,(L187-I187)*U187))</f>
        <v/>
      </c>
      <c r="X187" s="110">
        <f>IF(W187="","",W187-IF(M187="",0,M187))</f>
        <v/>
      </c>
      <c r="Y187" s="111">
        <f>IF(OR(X187="",H187="",H187=0),"",X187/H187)</f>
        <v/>
      </c>
      <c r="Z187" s="112">
        <f>IF(OR(I187="",J187="",U187=""),"",ABS(I187-J187)*U187)</f>
        <v/>
      </c>
      <c r="AA187" s="113">
        <f>IF(OR(X187="",Z187="",Z187=0),"",X187/Z187)</f>
        <v/>
      </c>
      <c r="AB187" s="114">
        <f>IF(OR(I187="",J187="",K187="",I187=J187),"",ABS(K187-I187)/ABS(I187-J187))</f>
        <v/>
      </c>
      <c r="AC187" s="51">
        <f>IF(OR(B187="",D187="",H187="",I187=""),"",IF(L187="","Ouvert",IF(X187&gt;0,"Gagné",IF(X187&lt;0,"Perdu","Neutre"))))</f>
        <v/>
      </c>
      <c r="AD187" s="115">
        <f>IF(X187="","",IF(C187="",B187,C187))</f>
        <v/>
      </c>
      <c r="AE187" s="109">
        <f>IF(B187="","",WEEKDAY(B187,2))</f>
        <v/>
      </c>
      <c r="AF187" s="112">
        <f>IF(X187="","",'Paramètres'!$C$9+SUM($X$6:X187))</f>
        <v/>
      </c>
      <c r="AG187" s="112">
        <f>IF(AF187="","",MAX('Paramètres'!$C$9,MAX($AF$6:AF187)))</f>
        <v/>
      </c>
      <c r="AH187" s="116">
        <f>IF(AF187="","",AF187/AG187-1)</f>
        <v/>
      </c>
      <c r="AI187" s="109">
        <f>IF(X187="","",IF(X187&gt;0,IF(N(AI186)&gt;0,N(AI186)+1,1),IF(X187&lt;0,IF(N(AI186)&lt;0,N(AI186)-1,-1),0)))</f>
        <v/>
      </c>
      <c r="AJ187" s="116">
        <f>IF(Z187="","",IFERROR(Z187/('Paramètres'!$C$9+SUM($X$5:X186)),""))</f>
        <v/>
      </c>
      <c r="AK187" s="109">
        <f>IF(AC187="Ouvert",COUNTIF($AC$6:AC187,"Ouvert"),"")</f>
        <v/>
      </c>
    </row>
    <row r="188" ht="19" customHeight="1">
      <c r="A188" s="104">
        <f>IF(B188="","",ROW()-5)</f>
        <v/>
      </c>
      <c r="B188" s="61" t="n"/>
      <c r="C188" s="61" t="n"/>
      <c r="D188" s="105" t="n"/>
      <c r="E188" s="49" t="n"/>
      <c r="F188" s="105" t="n"/>
      <c r="G188" s="49" t="n"/>
      <c r="H188" s="106" t="n"/>
      <c r="I188" s="107" t="n"/>
      <c r="J188" s="107" t="n"/>
      <c r="K188" s="107" t="n"/>
      <c r="L188" s="107" t="n"/>
      <c r="M188" s="106" t="n"/>
      <c r="N188" s="62" t="n"/>
      <c r="O188" s="49" t="n"/>
      <c r="P188" s="49" t="n"/>
      <c r="Q188" s="105" t="n"/>
      <c r="R188" s="105" t="n"/>
      <c r="S188" s="105" t="n"/>
      <c r="T188" s="105" t="n"/>
      <c r="U188" s="108">
        <f>IF(OR(H188="",I188="",I188=0),"",H188/I188)</f>
        <v/>
      </c>
      <c r="V188" s="109">
        <f>IF(OR(B188="",C188="",L188=""),"",MAX(0,C188-B188))</f>
        <v/>
      </c>
      <c r="W188" s="110">
        <f>IF(OR(L188="",U188=""),"",IF(E188="Short",(I188-L188)*U188,(L188-I188)*U188))</f>
        <v/>
      </c>
      <c r="X188" s="110">
        <f>IF(W188="","",W188-IF(M188="",0,M188))</f>
        <v/>
      </c>
      <c r="Y188" s="111">
        <f>IF(OR(X188="",H188="",H188=0),"",X188/H188)</f>
        <v/>
      </c>
      <c r="Z188" s="112">
        <f>IF(OR(I188="",J188="",U188=""),"",ABS(I188-J188)*U188)</f>
        <v/>
      </c>
      <c r="AA188" s="113">
        <f>IF(OR(X188="",Z188="",Z188=0),"",X188/Z188)</f>
        <v/>
      </c>
      <c r="AB188" s="114">
        <f>IF(OR(I188="",J188="",K188="",I188=J188),"",ABS(K188-I188)/ABS(I188-J188))</f>
        <v/>
      </c>
      <c r="AC188" s="51">
        <f>IF(OR(B188="",D188="",H188="",I188=""),"",IF(L188="","Ouvert",IF(X188&gt;0,"Gagné",IF(X188&lt;0,"Perdu","Neutre"))))</f>
        <v/>
      </c>
      <c r="AD188" s="115">
        <f>IF(X188="","",IF(C188="",B188,C188))</f>
        <v/>
      </c>
      <c r="AE188" s="109">
        <f>IF(B188="","",WEEKDAY(B188,2))</f>
        <v/>
      </c>
      <c r="AF188" s="112">
        <f>IF(X188="","",'Paramètres'!$C$9+SUM($X$6:X188))</f>
        <v/>
      </c>
      <c r="AG188" s="112">
        <f>IF(AF188="","",MAX('Paramètres'!$C$9,MAX($AF$6:AF188)))</f>
        <v/>
      </c>
      <c r="AH188" s="116">
        <f>IF(AF188="","",AF188/AG188-1)</f>
        <v/>
      </c>
      <c r="AI188" s="109">
        <f>IF(X188="","",IF(X188&gt;0,IF(N(AI187)&gt;0,N(AI187)+1,1),IF(X188&lt;0,IF(N(AI187)&lt;0,N(AI187)-1,-1),0)))</f>
        <v/>
      </c>
      <c r="AJ188" s="116">
        <f>IF(Z188="","",IFERROR(Z188/('Paramètres'!$C$9+SUM($X$5:X187)),""))</f>
        <v/>
      </c>
      <c r="AK188" s="109">
        <f>IF(AC188="Ouvert",COUNTIF($AC$6:AC188,"Ouvert"),"")</f>
        <v/>
      </c>
    </row>
    <row r="189" ht="19" customHeight="1">
      <c r="A189" s="104">
        <f>IF(B189="","",ROW()-5)</f>
        <v/>
      </c>
      <c r="B189" s="61" t="n"/>
      <c r="C189" s="61" t="n"/>
      <c r="D189" s="105" t="n"/>
      <c r="E189" s="49" t="n"/>
      <c r="F189" s="105" t="n"/>
      <c r="G189" s="49" t="n"/>
      <c r="H189" s="106" t="n"/>
      <c r="I189" s="107" t="n"/>
      <c r="J189" s="107" t="n"/>
      <c r="K189" s="107" t="n"/>
      <c r="L189" s="107" t="n"/>
      <c r="M189" s="106" t="n"/>
      <c r="N189" s="62" t="n"/>
      <c r="O189" s="49" t="n"/>
      <c r="P189" s="49" t="n"/>
      <c r="Q189" s="105" t="n"/>
      <c r="R189" s="105" t="n"/>
      <c r="S189" s="105" t="n"/>
      <c r="T189" s="105" t="n"/>
      <c r="U189" s="108">
        <f>IF(OR(H189="",I189="",I189=0),"",H189/I189)</f>
        <v/>
      </c>
      <c r="V189" s="109">
        <f>IF(OR(B189="",C189="",L189=""),"",MAX(0,C189-B189))</f>
        <v/>
      </c>
      <c r="W189" s="110">
        <f>IF(OR(L189="",U189=""),"",IF(E189="Short",(I189-L189)*U189,(L189-I189)*U189))</f>
        <v/>
      </c>
      <c r="X189" s="110">
        <f>IF(W189="","",W189-IF(M189="",0,M189))</f>
        <v/>
      </c>
      <c r="Y189" s="111">
        <f>IF(OR(X189="",H189="",H189=0),"",X189/H189)</f>
        <v/>
      </c>
      <c r="Z189" s="112">
        <f>IF(OR(I189="",J189="",U189=""),"",ABS(I189-J189)*U189)</f>
        <v/>
      </c>
      <c r="AA189" s="113">
        <f>IF(OR(X189="",Z189="",Z189=0),"",X189/Z189)</f>
        <v/>
      </c>
      <c r="AB189" s="114">
        <f>IF(OR(I189="",J189="",K189="",I189=J189),"",ABS(K189-I189)/ABS(I189-J189))</f>
        <v/>
      </c>
      <c r="AC189" s="51">
        <f>IF(OR(B189="",D189="",H189="",I189=""),"",IF(L189="","Ouvert",IF(X189&gt;0,"Gagné",IF(X189&lt;0,"Perdu","Neutre"))))</f>
        <v/>
      </c>
      <c r="AD189" s="115">
        <f>IF(X189="","",IF(C189="",B189,C189))</f>
        <v/>
      </c>
      <c r="AE189" s="109">
        <f>IF(B189="","",WEEKDAY(B189,2))</f>
        <v/>
      </c>
      <c r="AF189" s="112">
        <f>IF(X189="","",'Paramètres'!$C$9+SUM($X$6:X189))</f>
        <v/>
      </c>
      <c r="AG189" s="112">
        <f>IF(AF189="","",MAX('Paramètres'!$C$9,MAX($AF$6:AF189)))</f>
        <v/>
      </c>
      <c r="AH189" s="116">
        <f>IF(AF189="","",AF189/AG189-1)</f>
        <v/>
      </c>
      <c r="AI189" s="109">
        <f>IF(X189="","",IF(X189&gt;0,IF(N(AI188)&gt;0,N(AI188)+1,1),IF(X189&lt;0,IF(N(AI188)&lt;0,N(AI188)-1,-1),0)))</f>
        <v/>
      </c>
      <c r="AJ189" s="116">
        <f>IF(Z189="","",IFERROR(Z189/('Paramètres'!$C$9+SUM($X$5:X188)),""))</f>
        <v/>
      </c>
      <c r="AK189" s="109">
        <f>IF(AC189="Ouvert",COUNTIF($AC$6:AC189,"Ouvert"),"")</f>
        <v/>
      </c>
    </row>
    <row r="190" ht="19" customHeight="1">
      <c r="A190" s="104">
        <f>IF(B190="","",ROW()-5)</f>
        <v/>
      </c>
      <c r="B190" s="61" t="n"/>
      <c r="C190" s="61" t="n"/>
      <c r="D190" s="105" t="n"/>
      <c r="E190" s="49" t="n"/>
      <c r="F190" s="105" t="n"/>
      <c r="G190" s="49" t="n"/>
      <c r="H190" s="106" t="n"/>
      <c r="I190" s="107" t="n"/>
      <c r="J190" s="107" t="n"/>
      <c r="K190" s="107" t="n"/>
      <c r="L190" s="107" t="n"/>
      <c r="M190" s="106" t="n"/>
      <c r="N190" s="62" t="n"/>
      <c r="O190" s="49" t="n"/>
      <c r="P190" s="49" t="n"/>
      <c r="Q190" s="105" t="n"/>
      <c r="R190" s="105" t="n"/>
      <c r="S190" s="105" t="n"/>
      <c r="T190" s="105" t="n"/>
      <c r="U190" s="108">
        <f>IF(OR(H190="",I190="",I190=0),"",H190/I190)</f>
        <v/>
      </c>
      <c r="V190" s="109">
        <f>IF(OR(B190="",C190="",L190=""),"",MAX(0,C190-B190))</f>
        <v/>
      </c>
      <c r="W190" s="110">
        <f>IF(OR(L190="",U190=""),"",IF(E190="Short",(I190-L190)*U190,(L190-I190)*U190))</f>
        <v/>
      </c>
      <c r="X190" s="110">
        <f>IF(W190="","",W190-IF(M190="",0,M190))</f>
        <v/>
      </c>
      <c r="Y190" s="111">
        <f>IF(OR(X190="",H190="",H190=0),"",X190/H190)</f>
        <v/>
      </c>
      <c r="Z190" s="112">
        <f>IF(OR(I190="",J190="",U190=""),"",ABS(I190-J190)*U190)</f>
        <v/>
      </c>
      <c r="AA190" s="113">
        <f>IF(OR(X190="",Z190="",Z190=0),"",X190/Z190)</f>
        <v/>
      </c>
      <c r="AB190" s="114">
        <f>IF(OR(I190="",J190="",K190="",I190=J190),"",ABS(K190-I190)/ABS(I190-J190))</f>
        <v/>
      </c>
      <c r="AC190" s="51">
        <f>IF(OR(B190="",D190="",H190="",I190=""),"",IF(L190="","Ouvert",IF(X190&gt;0,"Gagné",IF(X190&lt;0,"Perdu","Neutre"))))</f>
        <v/>
      </c>
      <c r="AD190" s="115">
        <f>IF(X190="","",IF(C190="",B190,C190))</f>
        <v/>
      </c>
      <c r="AE190" s="109">
        <f>IF(B190="","",WEEKDAY(B190,2))</f>
        <v/>
      </c>
      <c r="AF190" s="112">
        <f>IF(X190="","",'Paramètres'!$C$9+SUM($X$6:X190))</f>
        <v/>
      </c>
      <c r="AG190" s="112">
        <f>IF(AF190="","",MAX('Paramètres'!$C$9,MAX($AF$6:AF190)))</f>
        <v/>
      </c>
      <c r="AH190" s="116">
        <f>IF(AF190="","",AF190/AG190-1)</f>
        <v/>
      </c>
      <c r="AI190" s="109">
        <f>IF(X190="","",IF(X190&gt;0,IF(N(AI189)&gt;0,N(AI189)+1,1),IF(X190&lt;0,IF(N(AI189)&lt;0,N(AI189)-1,-1),0)))</f>
        <v/>
      </c>
      <c r="AJ190" s="116">
        <f>IF(Z190="","",IFERROR(Z190/('Paramètres'!$C$9+SUM($X$5:X189)),""))</f>
        <v/>
      </c>
      <c r="AK190" s="109">
        <f>IF(AC190="Ouvert",COUNTIF($AC$6:AC190,"Ouvert"),"")</f>
        <v/>
      </c>
    </row>
    <row r="191" ht="19" customHeight="1">
      <c r="A191" s="104">
        <f>IF(B191="","",ROW()-5)</f>
        <v/>
      </c>
      <c r="B191" s="61" t="n"/>
      <c r="C191" s="61" t="n"/>
      <c r="D191" s="105" t="n"/>
      <c r="E191" s="49" t="n"/>
      <c r="F191" s="105" t="n"/>
      <c r="G191" s="49" t="n"/>
      <c r="H191" s="106" t="n"/>
      <c r="I191" s="107" t="n"/>
      <c r="J191" s="107" t="n"/>
      <c r="K191" s="107" t="n"/>
      <c r="L191" s="107" t="n"/>
      <c r="M191" s="106" t="n"/>
      <c r="N191" s="62" t="n"/>
      <c r="O191" s="49" t="n"/>
      <c r="P191" s="49" t="n"/>
      <c r="Q191" s="105" t="n"/>
      <c r="R191" s="105" t="n"/>
      <c r="S191" s="105" t="n"/>
      <c r="T191" s="105" t="n"/>
      <c r="U191" s="108">
        <f>IF(OR(H191="",I191="",I191=0),"",H191/I191)</f>
        <v/>
      </c>
      <c r="V191" s="109">
        <f>IF(OR(B191="",C191="",L191=""),"",MAX(0,C191-B191))</f>
        <v/>
      </c>
      <c r="W191" s="110">
        <f>IF(OR(L191="",U191=""),"",IF(E191="Short",(I191-L191)*U191,(L191-I191)*U191))</f>
        <v/>
      </c>
      <c r="X191" s="110">
        <f>IF(W191="","",W191-IF(M191="",0,M191))</f>
        <v/>
      </c>
      <c r="Y191" s="111">
        <f>IF(OR(X191="",H191="",H191=0),"",X191/H191)</f>
        <v/>
      </c>
      <c r="Z191" s="112">
        <f>IF(OR(I191="",J191="",U191=""),"",ABS(I191-J191)*U191)</f>
        <v/>
      </c>
      <c r="AA191" s="113">
        <f>IF(OR(X191="",Z191="",Z191=0),"",X191/Z191)</f>
        <v/>
      </c>
      <c r="AB191" s="114">
        <f>IF(OR(I191="",J191="",K191="",I191=J191),"",ABS(K191-I191)/ABS(I191-J191))</f>
        <v/>
      </c>
      <c r="AC191" s="51">
        <f>IF(OR(B191="",D191="",H191="",I191=""),"",IF(L191="","Ouvert",IF(X191&gt;0,"Gagné",IF(X191&lt;0,"Perdu","Neutre"))))</f>
        <v/>
      </c>
      <c r="AD191" s="115">
        <f>IF(X191="","",IF(C191="",B191,C191))</f>
        <v/>
      </c>
      <c r="AE191" s="109">
        <f>IF(B191="","",WEEKDAY(B191,2))</f>
        <v/>
      </c>
      <c r="AF191" s="112">
        <f>IF(X191="","",'Paramètres'!$C$9+SUM($X$6:X191))</f>
        <v/>
      </c>
      <c r="AG191" s="112">
        <f>IF(AF191="","",MAX('Paramètres'!$C$9,MAX($AF$6:AF191)))</f>
        <v/>
      </c>
      <c r="AH191" s="116">
        <f>IF(AF191="","",AF191/AG191-1)</f>
        <v/>
      </c>
      <c r="AI191" s="109">
        <f>IF(X191="","",IF(X191&gt;0,IF(N(AI190)&gt;0,N(AI190)+1,1),IF(X191&lt;0,IF(N(AI190)&lt;0,N(AI190)-1,-1),0)))</f>
        <v/>
      </c>
      <c r="AJ191" s="116">
        <f>IF(Z191="","",IFERROR(Z191/('Paramètres'!$C$9+SUM($X$5:X190)),""))</f>
        <v/>
      </c>
      <c r="AK191" s="109">
        <f>IF(AC191="Ouvert",COUNTIF($AC$6:AC191,"Ouvert"),"")</f>
        <v/>
      </c>
    </row>
    <row r="192" ht="19" customHeight="1">
      <c r="A192" s="104">
        <f>IF(B192="","",ROW()-5)</f>
        <v/>
      </c>
      <c r="B192" s="61" t="n"/>
      <c r="C192" s="61" t="n"/>
      <c r="D192" s="105" t="n"/>
      <c r="E192" s="49" t="n"/>
      <c r="F192" s="105" t="n"/>
      <c r="G192" s="49" t="n"/>
      <c r="H192" s="106" t="n"/>
      <c r="I192" s="107" t="n"/>
      <c r="J192" s="107" t="n"/>
      <c r="K192" s="107" t="n"/>
      <c r="L192" s="107" t="n"/>
      <c r="M192" s="106" t="n"/>
      <c r="N192" s="62" t="n"/>
      <c r="O192" s="49" t="n"/>
      <c r="P192" s="49" t="n"/>
      <c r="Q192" s="105" t="n"/>
      <c r="R192" s="105" t="n"/>
      <c r="S192" s="105" t="n"/>
      <c r="T192" s="105" t="n"/>
      <c r="U192" s="108">
        <f>IF(OR(H192="",I192="",I192=0),"",H192/I192)</f>
        <v/>
      </c>
      <c r="V192" s="109">
        <f>IF(OR(B192="",C192="",L192=""),"",MAX(0,C192-B192))</f>
        <v/>
      </c>
      <c r="W192" s="110">
        <f>IF(OR(L192="",U192=""),"",IF(E192="Short",(I192-L192)*U192,(L192-I192)*U192))</f>
        <v/>
      </c>
      <c r="X192" s="110">
        <f>IF(W192="","",W192-IF(M192="",0,M192))</f>
        <v/>
      </c>
      <c r="Y192" s="111">
        <f>IF(OR(X192="",H192="",H192=0),"",X192/H192)</f>
        <v/>
      </c>
      <c r="Z192" s="112">
        <f>IF(OR(I192="",J192="",U192=""),"",ABS(I192-J192)*U192)</f>
        <v/>
      </c>
      <c r="AA192" s="113">
        <f>IF(OR(X192="",Z192="",Z192=0),"",X192/Z192)</f>
        <v/>
      </c>
      <c r="AB192" s="114">
        <f>IF(OR(I192="",J192="",K192="",I192=J192),"",ABS(K192-I192)/ABS(I192-J192))</f>
        <v/>
      </c>
      <c r="AC192" s="51">
        <f>IF(OR(B192="",D192="",H192="",I192=""),"",IF(L192="","Ouvert",IF(X192&gt;0,"Gagné",IF(X192&lt;0,"Perdu","Neutre"))))</f>
        <v/>
      </c>
      <c r="AD192" s="115">
        <f>IF(X192="","",IF(C192="",B192,C192))</f>
        <v/>
      </c>
      <c r="AE192" s="109">
        <f>IF(B192="","",WEEKDAY(B192,2))</f>
        <v/>
      </c>
      <c r="AF192" s="112">
        <f>IF(X192="","",'Paramètres'!$C$9+SUM($X$6:X192))</f>
        <v/>
      </c>
      <c r="AG192" s="112">
        <f>IF(AF192="","",MAX('Paramètres'!$C$9,MAX($AF$6:AF192)))</f>
        <v/>
      </c>
      <c r="AH192" s="116">
        <f>IF(AF192="","",AF192/AG192-1)</f>
        <v/>
      </c>
      <c r="AI192" s="109">
        <f>IF(X192="","",IF(X192&gt;0,IF(N(AI191)&gt;0,N(AI191)+1,1),IF(X192&lt;0,IF(N(AI191)&lt;0,N(AI191)-1,-1),0)))</f>
        <v/>
      </c>
      <c r="AJ192" s="116">
        <f>IF(Z192="","",IFERROR(Z192/('Paramètres'!$C$9+SUM($X$5:X191)),""))</f>
        <v/>
      </c>
      <c r="AK192" s="109">
        <f>IF(AC192="Ouvert",COUNTIF($AC$6:AC192,"Ouvert"),"")</f>
        <v/>
      </c>
    </row>
    <row r="193" ht="19" customHeight="1">
      <c r="A193" s="104">
        <f>IF(B193="","",ROW()-5)</f>
        <v/>
      </c>
      <c r="B193" s="61" t="n"/>
      <c r="C193" s="61" t="n"/>
      <c r="D193" s="105" t="n"/>
      <c r="E193" s="49" t="n"/>
      <c r="F193" s="105" t="n"/>
      <c r="G193" s="49" t="n"/>
      <c r="H193" s="106" t="n"/>
      <c r="I193" s="107" t="n"/>
      <c r="J193" s="107" t="n"/>
      <c r="K193" s="107" t="n"/>
      <c r="L193" s="107" t="n"/>
      <c r="M193" s="106" t="n"/>
      <c r="N193" s="62" t="n"/>
      <c r="O193" s="49" t="n"/>
      <c r="P193" s="49" t="n"/>
      <c r="Q193" s="105" t="n"/>
      <c r="R193" s="105" t="n"/>
      <c r="S193" s="105" t="n"/>
      <c r="T193" s="105" t="n"/>
      <c r="U193" s="108">
        <f>IF(OR(H193="",I193="",I193=0),"",H193/I193)</f>
        <v/>
      </c>
      <c r="V193" s="109">
        <f>IF(OR(B193="",C193="",L193=""),"",MAX(0,C193-B193))</f>
        <v/>
      </c>
      <c r="W193" s="110">
        <f>IF(OR(L193="",U193=""),"",IF(E193="Short",(I193-L193)*U193,(L193-I193)*U193))</f>
        <v/>
      </c>
      <c r="X193" s="110">
        <f>IF(W193="","",W193-IF(M193="",0,M193))</f>
        <v/>
      </c>
      <c r="Y193" s="111">
        <f>IF(OR(X193="",H193="",H193=0),"",X193/H193)</f>
        <v/>
      </c>
      <c r="Z193" s="112">
        <f>IF(OR(I193="",J193="",U193=""),"",ABS(I193-J193)*U193)</f>
        <v/>
      </c>
      <c r="AA193" s="113">
        <f>IF(OR(X193="",Z193="",Z193=0),"",X193/Z193)</f>
        <v/>
      </c>
      <c r="AB193" s="114">
        <f>IF(OR(I193="",J193="",K193="",I193=J193),"",ABS(K193-I193)/ABS(I193-J193))</f>
        <v/>
      </c>
      <c r="AC193" s="51">
        <f>IF(OR(B193="",D193="",H193="",I193=""),"",IF(L193="","Ouvert",IF(X193&gt;0,"Gagné",IF(X193&lt;0,"Perdu","Neutre"))))</f>
        <v/>
      </c>
      <c r="AD193" s="115">
        <f>IF(X193="","",IF(C193="",B193,C193))</f>
        <v/>
      </c>
      <c r="AE193" s="109">
        <f>IF(B193="","",WEEKDAY(B193,2))</f>
        <v/>
      </c>
      <c r="AF193" s="112">
        <f>IF(X193="","",'Paramètres'!$C$9+SUM($X$6:X193))</f>
        <v/>
      </c>
      <c r="AG193" s="112">
        <f>IF(AF193="","",MAX('Paramètres'!$C$9,MAX($AF$6:AF193)))</f>
        <v/>
      </c>
      <c r="AH193" s="116">
        <f>IF(AF193="","",AF193/AG193-1)</f>
        <v/>
      </c>
      <c r="AI193" s="109">
        <f>IF(X193="","",IF(X193&gt;0,IF(N(AI192)&gt;0,N(AI192)+1,1),IF(X193&lt;0,IF(N(AI192)&lt;0,N(AI192)-1,-1),0)))</f>
        <v/>
      </c>
      <c r="AJ193" s="116">
        <f>IF(Z193="","",IFERROR(Z193/('Paramètres'!$C$9+SUM($X$5:X192)),""))</f>
        <v/>
      </c>
      <c r="AK193" s="109">
        <f>IF(AC193="Ouvert",COUNTIF($AC$6:AC193,"Ouvert"),"")</f>
        <v/>
      </c>
    </row>
    <row r="194" ht="19" customHeight="1">
      <c r="A194" s="104">
        <f>IF(B194="","",ROW()-5)</f>
        <v/>
      </c>
      <c r="B194" s="61" t="n"/>
      <c r="C194" s="61" t="n"/>
      <c r="D194" s="105" t="n"/>
      <c r="E194" s="49" t="n"/>
      <c r="F194" s="105" t="n"/>
      <c r="G194" s="49" t="n"/>
      <c r="H194" s="106" t="n"/>
      <c r="I194" s="107" t="n"/>
      <c r="J194" s="107" t="n"/>
      <c r="K194" s="107" t="n"/>
      <c r="L194" s="107" t="n"/>
      <c r="M194" s="106" t="n"/>
      <c r="N194" s="62" t="n"/>
      <c r="O194" s="49" t="n"/>
      <c r="P194" s="49" t="n"/>
      <c r="Q194" s="105" t="n"/>
      <c r="R194" s="105" t="n"/>
      <c r="S194" s="105" t="n"/>
      <c r="T194" s="105" t="n"/>
      <c r="U194" s="108">
        <f>IF(OR(H194="",I194="",I194=0),"",H194/I194)</f>
        <v/>
      </c>
      <c r="V194" s="109">
        <f>IF(OR(B194="",C194="",L194=""),"",MAX(0,C194-B194))</f>
        <v/>
      </c>
      <c r="W194" s="110">
        <f>IF(OR(L194="",U194=""),"",IF(E194="Short",(I194-L194)*U194,(L194-I194)*U194))</f>
        <v/>
      </c>
      <c r="X194" s="110">
        <f>IF(W194="","",W194-IF(M194="",0,M194))</f>
        <v/>
      </c>
      <c r="Y194" s="111">
        <f>IF(OR(X194="",H194="",H194=0),"",X194/H194)</f>
        <v/>
      </c>
      <c r="Z194" s="112">
        <f>IF(OR(I194="",J194="",U194=""),"",ABS(I194-J194)*U194)</f>
        <v/>
      </c>
      <c r="AA194" s="113">
        <f>IF(OR(X194="",Z194="",Z194=0),"",X194/Z194)</f>
        <v/>
      </c>
      <c r="AB194" s="114">
        <f>IF(OR(I194="",J194="",K194="",I194=J194),"",ABS(K194-I194)/ABS(I194-J194))</f>
        <v/>
      </c>
      <c r="AC194" s="51">
        <f>IF(OR(B194="",D194="",H194="",I194=""),"",IF(L194="","Ouvert",IF(X194&gt;0,"Gagné",IF(X194&lt;0,"Perdu","Neutre"))))</f>
        <v/>
      </c>
      <c r="AD194" s="115">
        <f>IF(X194="","",IF(C194="",B194,C194))</f>
        <v/>
      </c>
      <c r="AE194" s="109">
        <f>IF(B194="","",WEEKDAY(B194,2))</f>
        <v/>
      </c>
      <c r="AF194" s="112">
        <f>IF(X194="","",'Paramètres'!$C$9+SUM($X$6:X194))</f>
        <v/>
      </c>
      <c r="AG194" s="112">
        <f>IF(AF194="","",MAX('Paramètres'!$C$9,MAX($AF$6:AF194)))</f>
        <v/>
      </c>
      <c r="AH194" s="116">
        <f>IF(AF194="","",AF194/AG194-1)</f>
        <v/>
      </c>
      <c r="AI194" s="109">
        <f>IF(X194="","",IF(X194&gt;0,IF(N(AI193)&gt;0,N(AI193)+1,1),IF(X194&lt;0,IF(N(AI193)&lt;0,N(AI193)-1,-1),0)))</f>
        <v/>
      </c>
      <c r="AJ194" s="116">
        <f>IF(Z194="","",IFERROR(Z194/('Paramètres'!$C$9+SUM($X$5:X193)),""))</f>
        <v/>
      </c>
      <c r="AK194" s="109">
        <f>IF(AC194="Ouvert",COUNTIF($AC$6:AC194,"Ouvert"),"")</f>
        <v/>
      </c>
    </row>
    <row r="195" ht="19" customHeight="1">
      <c r="A195" s="104">
        <f>IF(B195="","",ROW()-5)</f>
        <v/>
      </c>
      <c r="B195" s="61" t="n"/>
      <c r="C195" s="61" t="n"/>
      <c r="D195" s="105" t="n"/>
      <c r="E195" s="49" t="n"/>
      <c r="F195" s="105" t="n"/>
      <c r="G195" s="49" t="n"/>
      <c r="H195" s="106" t="n"/>
      <c r="I195" s="107" t="n"/>
      <c r="J195" s="107" t="n"/>
      <c r="K195" s="107" t="n"/>
      <c r="L195" s="107" t="n"/>
      <c r="M195" s="106" t="n"/>
      <c r="N195" s="62" t="n"/>
      <c r="O195" s="49" t="n"/>
      <c r="P195" s="49" t="n"/>
      <c r="Q195" s="105" t="n"/>
      <c r="R195" s="105" t="n"/>
      <c r="S195" s="105" t="n"/>
      <c r="T195" s="105" t="n"/>
      <c r="U195" s="108">
        <f>IF(OR(H195="",I195="",I195=0),"",H195/I195)</f>
        <v/>
      </c>
      <c r="V195" s="109">
        <f>IF(OR(B195="",C195="",L195=""),"",MAX(0,C195-B195))</f>
        <v/>
      </c>
      <c r="W195" s="110">
        <f>IF(OR(L195="",U195=""),"",IF(E195="Short",(I195-L195)*U195,(L195-I195)*U195))</f>
        <v/>
      </c>
      <c r="X195" s="110">
        <f>IF(W195="","",W195-IF(M195="",0,M195))</f>
        <v/>
      </c>
      <c r="Y195" s="111">
        <f>IF(OR(X195="",H195="",H195=0),"",X195/H195)</f>
        <v/>
      </c>
      <c r="Z195" s="112">
        <f>IF(OR(I195="",J195="",U195=""),"",ABS(I195-J195)*U195)</f>
        <v/>
      </c>
      <c r="AA195" s="113">
        <f>IF(OR(X195="",Z195="",Z195=0),"",X195/Z195)</f>
        <v/>
      </c>
      <c r="AB195" s="114">
        <f>IF(OR(I195="",J195="",K195="",I195=J195),"",ABS(K195-I195)/ABS(I195-J195))</f>
        <v/>
      </c>
      <c r="AC195" s="51">
        <f>IF(OR(B195="",D195="",H195="",I195=""),"",IF(L195="","Ouvert",IF(X195&gt;0,"Gagné",IF(X195&lt;0,"Perdu","Neutre"))))</f>
        <v/>
      </c>
      <c r="AD195" s="115">
        <f>IF(X195="","",IF(C195="",B195,C195))</f>
        <v/>
      </c>
      <c r="AE195" s="109">
        <f>IF(B195="","",WEEKDAY(B195,2))</f>
        <v/>
      </c>
      <c r="AF195" s="112">
        <f>IF(X195="","",'Paramètres'!$C$9+SUM($X$6:X195))</f>
        <v/>
      </c>
      <c r="AG195" s="112">
        <f>IF(AF195="","",MAX('Paramètres'!$C$9,MAX($AF$6:AF195)))</f>
        <v/>
      </c>
      <c r="AH195" s="116">
        <f>IF(AF195="","",AF195/AG195-1)</f>
        <v/>
      </c>
      <c r="AI195" s="109">
        <f>IF(X195="","",IF(X195&gt;0,IF(N(AI194)&gt;0,N(AI194)+1,1),IF(X195&lt;0,IF(N(AI194)&lt;0,N(AI194)-1,-1),0)))</f>
        <v/>
      </c>
      <c r="AJ195" s="116">
        <f>IF(Z195="","",IFERROR(Z195/('Paramètres'!$C$9+SUM($X$5:X194)),""))</f>
        <v/>
      </c>
      <c r="AK195" s="109">
        <f>IF(AC195="Ouvert",COUNTIF($AC$6:AC195,"Ouvert"),"")</f>
        <v/>
      </c>
    </row>
    <row r="196" ht="19" customHeight="1">
      <c r="A196" s="104">
        <f>IF(B196="","",ROW()-5)</f>
        <v/>
      </c>
      <c r="B196" s="61" t="n"/>
      <c r="C196" s="61" t="n"/>
      <c r="D196" s="105" t="n"/>
      <c r="E196" s="49" t="n"/>
      <c r="F196" s="105" t="n"/>
      <c r="G196" s="49" t="n"/>
      <c r="H196" s="106" t="n"/>
      <c r="I196" s="107" t="n"/>
      <c r="J196" s="107" t="n"/>
      <c r="K196" s="107" t="n"/>
      <c r="L196" s="107" t="n"/>
      <c r="M196" s="106" t="n"/>
      <c r="N196" s="62" t="n"/>
      <c r="O196" s="49" t="n"/>
      <c r="P196" s="49" t="n"/>
      <c r="Q196" s="105" t="n"/>
      <c r="R196" s="105" t="n"/>
      <c r="S196" s="105" t="n"/>
      <c r="T196" s="105" t="n"/>
      <c r="U196" s="108">
        <f>IF(OR(H196="",I196="",I196=0),"",H196/I196)</f>
        <v/>
      </c>
      <c r="V196" s="109">
        <f>IF(OR(B196="",C196="",L196=""),"",MAX(0,C196-B196))</f>
        <v/>
      </c>
      <c r="W196" s="110">
        <f>IF(OR(L196="",U196=""),"",IF(E196="Short",(I196-L196)*U196,(L196-I196)*U196))</f>
        <v/>
      </c>
      <c r="X196" s="110">
        <f>IF(W196="","",W196-IF(M196="",0,M196))</f>
        <v/>
      </c>
      <c r="Y196" s="111">
        <f>IF(OR(X196="",H196="",H196=0),"",X196/H196)</f>
        <v/>
      </c>
      <c r="Z196" s="112">
        <f>IF(OR(I196="",J196="",U196=""),"",ABS(I196-J196)*U196)</f>
        <v/>
      </c>
      <c r="AA196" s="113">
        <f>IF(OR(X196="",Z196="",Z196=0),"",X196/Z196)</f>
        <v/>
      </c>
      <c r="AB196" s="114">
        <f>IF(OR(I196="",J196="",K196="",I196=J196),"",ABS(K196-I196)/ABS(I196-J196))</f>
        <v/>
      </c>
      <c r="AC196" s="51">
        <f>IF(OR(B196="",D196="",H196="",I196=""),"",IF(L196="","Ouvert",IF(X196&gt;0,"Gagné",IF(X196&lt;0,"Perdu","Neutre"))))</f>
        <v/>
      </c>
      <c r="AD196" s="115">
        <f>IF(X196="","",IF(C196="",B196,C196))</f>
        <v/>
      </c>
      <c r="AE196" s="109">
        <f>IF(B196="","",WEEKDAY(B196,2))</f>
        <v/>
      </c>
      <c r="AF196" s="112">
        <f>IF(X196="","",'Paramètres'!$C$9+SUM($X$6:X196))</f>
        <v/>
      </c>
      <c r="AG196" s="112">
        <f>IF(AF196="","",MAX('Paramètres'!$C$9,MAX($AF$6:AF196)))</f>
        <v/>
      </c>
      <c r="AH196" s="116">
        <f>IF(AF196="","",AF196/AG196-1)</f>
        <v/>
      </c>
      <c r="AI196" s="109">
        <f>IF(X196="","",IF(X196&gt;0,IF(N(AI195)&gt;0,N(AI195)+1,1),IF(X196&lt;0,IF(N(AI195)&lt;0,N(AI195)-1,-1),0)))</f>
        <v/>
      </c>
      <c r="AJ196" s="116">
        <f>IF(Z196="","",IFERROR(Z196/('Paramètres'!$C$9+SUM($X$5:X195)),""))</f>
        <v/>
      </c>
      <c r="AK196" s="109">
        <f>IF(AC196="Ouvert",COUNTIF($AC$6:AC196,"Ouvert"),"")</f>
        <v/>
      </c>
    </row>
    <row r="197" ht="19" customHeight="1">
      <c r="A197" s="104">
        <f>IF(B197="","",ROW()-5)</f>
        <v/>
      </c>
      <c r="B197" s="61" t="n"/>
      <c r="C197" s="61" t="n"/>
      <c r="D197" s="105" t="n"/>
      <c r="E197" s="49" t="n"/>
      <c r="F197" s="105" t="n"/>
      <c r="G197" s="49" t="n"/>
      <c r="H197" s="106" t="n"/>
      <c r="I197" s="107" t="n"/>
      <c r="J197" s="107" t="n"/>
      <c r="K197" s="107" t="n"/>
      <c r="L197" s="107" t="n"/>
      <c r="M197" s="106" t="n"/>
      <c r="N197" s="62" t="n"/>
      <c r="O197" s="49" t="n"/>
      <c r="P197" s="49" t="n"/>
      <c r="Q197" s="105" t="n"/>
      <c r="R197" s="105" t="n"/>
      <c r="S197" s="105" t="n"/>
      <c r="T197" s="105" t="n"/>
      <c r="U197" s="108">
        <f>IF(OR(H197="",I197="",I197=0),"",H197/I197)</f>
        <v/>
      </c>
      <c r="V197" s="109">
        <f>IF(OR(B197="",C197="",L197=""),"",MAX(0,C197-B197))</f>
        <v/>
      </c>
      <c r="W197" s="110">
        <f>IF(OR(L197="",U197=""),"",IF(E197="Short",(I197-L197)*U197,(L197-I197)*U197))</f>
        <v/>
      </c>
      <c r="X197" s="110">
        <f>IF(W197="","",W197-IF(M197="",0,M197))</f>
        <v/>
      </c>
      <c r="Y197" s="111">
        <f>IF(OR(X197="",H197="",H197=0),"",X197/H197)</f>
        <v/>
      </c>
      <c r="Z197" s="112">
        <f>IF(OR(I197="",J197="",U197=""),"",ABS(I197-J197)*U197)</f>
        <v/>
      </c>
      <c r="AA197" s="113">
        <f>IF(OR(X197="",Z197="",Z197=0),"",X197/Z197)</f>
        <v/>
      </c>
      <c r="AB197" s="114">
        <f>IF(OR(I197="",J197="",K197="",I197=J197),"",ABS(K197-I197)/ABS(I197-J197))</f>
        <v/>
      </c>
      <c r="AC197" s="51">
        <f>IF(OR(B197="",D197="",H197="",I197=""),"",IF(L197="","Ouvert",IF(X197&gt;0,"Gagné",IF(X197&lt;0,"Perdu","Neutre"))))</f>
        <v/>
      </c>
      <c r="AD197" s="115">
        <f>IF(X197="","",IF(C197="",B197,C197))</f>
        <v/>
      </c>
      <c r="AE197" s="109">
        <f>IF(B197="","",WEEKDAY(B197,2))</f>
        <v/>
      </c>
      <c r="AF197" s="112">
        <f>IF(X197="","",'Paramètres'!$C$9+SUM($X$6:X197))</f>
        <v/>
      </c>
      <c r="AG197" s="112">
        <f>IF(AF197="","",MAX('Paramètres'!$C$9,MAX($AF$6:AF197)))</f>
        <v/>
      </c>
      <c r="AH197" s="116">
        <f>IF(AF197="","",AF197/AG197-1)</f>
        <v/>
      </c>
      <c r="AI197" s="109">
        <f>IF(X197="","",IF(X197&gt;0,IF(N(AI196)&gt;0,N(AI196)+1,1),IF(X197&lt;0,IF(N(AI196)&lt;0,N(AI196)-1,-1),0)))</f>
        <v/>
      </c>
      <c r="AJ197" s="116">
        <f>IF(Z197="","",IFERROR(Z197/('Paramètres'!$C$9+SUM($X$5:X196)),""))</f>
        <v/>
      </c>
      <c r="AK197" s="109">
        <f>IF(AC197="Ouvert",COUNTIF($AC$6:AC197,"Ouvert"),"")</f>
        <v/>
      </c>
    </row>
    <row r="198" ht="19" customHeight="1">
      <c r="A198" s="104">
        <f>IF(B198="","",ROW()-5)</f>
        <v/>
      </c>
      <c r="B198" s="61" t="n"/>
      <c r="C198" s="61" t="n"/>
      <c r="D198" s="105" t="n"/>
      <c r="E198" s="49" t="n"/>
      <c r="F198" s="105" t="n"/>
      <c r="G198" s="49" t="n"/>
      <c r="H198" s="106" t="n"/>
      <c r="I198" s="107" t="n"/>
      <c r="J198" s="107" t="n"/>
      <c r="K198" s="107" t="n"/>
      <c r="L198" s="107" t="n"/>
      <c r="M198" s="106" t="n"/>
      <c r="N198" s="62" t="n"/>
      <c r="O198" s="49" t="n"/>
      <c r="P198" s="49" t="n"/>
      <c r="Q198" s="105" t="n"/>
      <c r="R198" s="105" t="n"/>
      <c r="S198" s="105" t="n"/>
      <c r="T198" s="105" t="n"/>
      <c r="U198" s="108">
        <f>IF(OR(H198="",I198="",I198=0),"",H198/I198)</f>
        <v/>
      </c>
      <c r="V198" s="109">
        <f>IF(OR(B198="",C198="",L198=""),"",MAX(0,C198-B198))</f>
        <v/>
      </c>
      <c r="W198" s="110">
        <f>IF(OR(L198="",U198=""),"",IF(E198="Short",(I198-L198)*U198,(L198-I198)*U198))</f>
        <v/>
      </c>
      <c r="X198" s="110">
        <f>IF(W198="","",W198-IF(M198="",0,M198))</f>
        <v/>
      </c>
      <c r="Y198" s="111">
        <f>IF(OR(X198="",H198="",H198=0),"",X198/H198)</f>
        <v/>
      </c>
      <c r="Z198" s="112">
        <f>IF(OR(I198="",J198="",U198=""),"",ABS(I198-J198)*U198)</f>
        <v/>
      </c>
      <c r="AA198" s="113">
        <f>IF(OR(X198="",Z198="",Z198=0),"",X198/Z198)</f>
        <v/>
      </c>
      <c r="AB198" s="114">
        <f>IF(OR(I198="",J198="",K198="",I198=J198),"",ABS(K198-I198)/ABS(I198-J198))</f>
        <v/>
      </c>
      <c r="AC198" s="51">
        <f>IF(OR(B198="",D198="",H198="",I198=""),"",IF(L198="","Ouvert",IF(X198&gt;0,"Gagné",IF(X198&lt;0,"Perdu","Neutre"))))</f>
        <v/>
      </c>
      <c r="AD198" s="115">
        <f>IF(X198="","",IF(C198="",B198,C198))</f>
        <v/>
      </c>
      <c r="AE198" s="109">
        <f>IF(B198="","",WEEKDAY(B198,2))</f>
        <v/>
      </c>
      <c r="AF198" s="112">
        <f>IF(X198="","",'Paramètres'!$C$9+SUM($X$6:X198))</f>
        <v/>
      </c>
      <c r="AG198" s="112">
        <f>IF(AF198="","",MAX('Paramètres'!$C$9,MAX($AF$6:AF198)))</f>
        <v/>
      </c>
      <c r="AH198" s="116">
        <f>IF(AF198="","",AF198/AG198-1)</f>
        <v/>
      </c>
      <c r="AI198" s="109">
        <f>IF(X198="","",IF(X198&gt;0,IF(N(AI197)&gt;0,N(AI197)+1,1),IF(X198&lt;0,IF(N(AI197)&lt;0,N(AI197)-1,-1),0)))</f>
        <v/>
      </c>
      <c r="AJ198" s="116">
        <f>IF(Z198="","",IFERROR(Z198/('Paramètres'!$C$9+SUM($X$5:X197)),""))</f>
        <v/>
      </c>
      <c r="AK198" s="109">
        <f>IF(AC198="Ouvert",COUNTIF($AC$6:AC198,"Ouvert"),"")</f>
        <v/>
      </c>
    </row>
    <row r="199" ht="19" customHeight="1">
      <c r="A199" s="104">
        <f>IF(B199="","",ROW()-5)</f>
        <v/>
      </c>
      <c r="B199" s="61" t="n"/>
      <c r="C199" s="61" t="n"/>
      <c r="D199" s="105" t="n"/>
      <c r="E199" s="49" t="n"/>
      <c r="F199" s="105" t="n"/>
      <c r="G199" s="49" t="n"/>
      <c r="H199" s="106" t="n"/>
      <c r="I199" s="107" t="n"/>
      <c r="J199" s="107" t="n"/>
      <c r="K199" s="107" t="n"/>
      <c r="L199" s="107" t="n"/>
      <c r="M199" s="106" t="n"/>
      <c r="N199" s="62" t="n"/>
      <c r="O199" s="49" t="n"/>
      <c r="P199" s="49" t="n"/>
      <c r="Q199" s="105" t="n"/>
      <c r="R199" s="105" t="n"/>
      <c r="S199" s="105" t="n"/>
      <c r="T199" s="105" t="n"/>
      <c r="U199" s="108">
        <f>IF(OR(H199="",I199="",I199=0),"",H199/I199)</f>
        <v/>
      </c>
      <c r="V199" s="109">
        <f>IF(OR(B199="",C199="",L199=""),"",MAX(0,C199-B199))</f>
        <v/>
      </c>
      <c r="W199" s="110">
        <f>IF(OR(L199="",U199=""),"",IF(E199="Short",(I199-L199)*U199,(L199-I199)*U199))</f>
        <v/>
      </c>
      <c r="X199" s="110">
        <f>IF(W199="","",W199-IF(M199="",0,M199))</f>
        <v/>
      </c>
      <c r="Y199" s="111">
        <f>IF(OR(X199="",H199="",H199=0),"",X199/H199)</f>
        <v/>
      </c>
      <c r="Z199" s="112">
        <f>IF(OR(I199="",J199="",U199=""),"",ABS(I199-J199)*U199)</f>
        <v/>
      </c>
      <c r="AA199" s="113">
        <f>IF(OR(X199="",Z199="",Z199=0),"",X199/Z199)</f>
        <v/>
      </c>
      <c r="AB199" s="114">
        <f>IF(OR(I199="",J199="",K199="",I199=J199),"",ABS(K199-I199)/ABS(I199-J199))</f>
        <v/>
      </c>
      <c r="AC199" s="51">
        <f>IF(OR(B199="",D199="",H199="",I199=""),"",IF(L199="","Ouvert",IF(X199&gt;0,"Gagné",IF(X199&lt;0,"Perdu","Neutre"))))</f>
        <v/>
      </c>
      <c r="AD199" s="115">
        <f>IF(X199="","",IF(C199="",B199,C199))</f>
        <v/>
      </c>
      <c r="AE199" s="109">
        <f>IF(B199="","",WEEKDAY(B199,2))</f>
        <v/>
      </c>
      <c r="AF199" s="112">
        <f>IF(X199="","",'Paramètres'!$C$9+SUM($X$6:X199))</f>
        <v/>
      </c>
      <c r="AG199" s="112">
        <f>IF(AF199="","",MAX('Paramètres'!$C$9,MAX($AF$6:AF199)))</f>
        <v/>
      </c>
      <c r="AH199" s="116">
        <f>IF(AF199="","",AF199/AG199-1)</f>
        <v/>
      </c>
      <c r="AI199" s="109">
        <f>IF(X199="","",IF(X199&gt;0,IF(N(AI198)&gt;0,N(AI198)+1,1),IF(X199&lt;0,IF(N(AI198)&lt;0,N(AI198)-1,-1),0)))</f>
        <v/>
      </c>
      <c r="AJ199" s="116">
        <f>IF(Z199="","",IFERROR(Z199/('Paramètres'!$C$9+SUM($X$5:X198)),""))</f>
        <v/>
      </c>
      <c r="AK199" s="109">
        <f>IF(AC199="Ouvert",COUNTIF($AC$6:AC199,"Ouvert"),"")</f>
        <v/>
      </c>
    </row>
    <row r="200" ht="19" customHeight="1">
      <c r="A200" s="104">
        <f>IF(B200="","",ROW()-5)</f>
        <v/>
      </c>
      <c r="B200" s="61" t="n"/>
      <c r="C200" s="61" t="n"/>
      <c r="D200" s="105" t="n"/>
      <c r="E200" s="49" t="n"/>
      <c r="F200" s="105" t="n"/>
      <c r="G200" s="49" t="n"/>
      <c r="H200" s="106" t="n"/>
      <c r="I200" s="107" t="n"/>
      <c r="J200" s="107" t="n"/>
      <c r="K200" s="107" t="n"/>
      <c r="L200" s="107" t="n"/>
      <c r="M200" s="106" t="n"/>
      <c r="N200" s="62" t="n"/>
      <c r="O200" s="49" t="n"/>
      <c r="P200" s="49" t="n"/>
      <c r="Q200" s="105" t="n"/>
      <c r="R200" s="105" t="n"/>
      <c r="S200" s="105" t="n"/>
      <c r="T200" s="105" t="n"/>
      <c r="U200" s="108">
        <f>IF(OR(H200="",I200="",I200=0),"",H200/I200)</f>
        <v/>
      </c>
      <c r="V200" s="109">
        <f>IF(OR(B200="",C200="",L200=""),"",MAX(0,C200-B200))</f>
        <v/>
      </c>
      <c r="W200" s="110">
        <f>IF(OR(L200="",U200=""),"",IF(E200="Short",(I200-L200)*U200,(L200-I200)*U200))</f>
        <v/>
      </c>
      <c r="X200" s="110">
        <f>IF(W200="","",W200-IF(M200="",0,M200))</f>
        <v/>
      </c>
      <c r="Y200" s="111">
        <f>IF(OR(X200="",H200="",H200=0),"",X200/H200)</f>
        <v/>
      </c>
      <c r="Z200" s="112">
        <f>IF(OR(I200="",J200="",U200=""),"",ABS(I200-J200)*U200)</f>
        <v/>
      </c>
      <c r="AA200" s="113">
        <f>IF(OR(X200="",Z200="",Z200=0),"",X200/Z200)</f>
        <v/>
      </c>
      <c r="AB200" s="114">
        <f>IF(OR(I200="",J200="",K200="",I200=J200),"",ABS(K200-I200)/ABS(I200-J200))</f>
        <v/>
      </c>
      <c r="AC200" s="51">
        <f>IF(OR(B200="",D200="",H200="",I200=""),"",IF(L200="","Ouvert",IF(X200&gt;0,"Gagné",IF(X200&lt;0,"Perdu","Neutre"))))</f>
        <v/>
      </c>
      <c r="AD200" s="115">
        <f>IF(X200="","",IF(C200="",B200,C200))</f>
        <v/>
      </c>
      <c r="AE200" s="109">
        <f>IF(B200="","",WEEKDAY(B200,2))</f>
        <v/>
      </c>
      <c r="AF200" s="112">
        <f>IF(X200="","",'Paramètres'!$C$9+SUM($X$6:X200))</f>
        <v/>
      </c>
      <c r="AG200" s="112">
        <f>IF(AF200="","",MAX('Paramètres'!$C$9,MAX($AF$6:AF200)))</f>
        <v/>
      </c>
      <c r="AH200" s="116">
        <f>IF(AF200="","",AF200/AG200-1)</f>
        <v/>
      </c>
      <c r="AI200" s="109">
        <f>IF(X200="","",IF(X200&gt;0,IF(N(AI199)&gt;0,N(AI199)+1,1),IF(X200&lt;0,IF(N(AI199)&lt;0,N(AI199)-1,-1),0)))</f>
        <v/>
      </c>
      <c r="AJ200" s="116">
        <f>IF(Z200="","",IFERROR(Z200/('Paramètres'!$C$9+SUM($X$5:X199)),""))</f>
        <v/>
      </c>
      <c r="AK200" s="109">
        <f>IF(AC200="Ouvert",COUNTIF($AC$6:AC200,"Ouvert"),"")</f>
        <v/>
      </c>
    </row>
    <row r="201" ht="19" customHeight="1">
      <c r="A201" s="104">
        <f>IF(B201="","",ROW()-5)</f>
        <v/>
      </c>
      <c r="B201" s="61" t="n"/>
      <c r="C201" s="61" t="n"/>
      <c r="D201" s="105" t="n"/>
      <c r="E201" s="49" t="n"/>
      <c r="F201" s="105" t="n"/>
      <c r="G201" s="49" t="n"/>
      <c r="H201" s="106" t="n"/>
      <c r="I201" s="107" t="n"/>
      <c r="J201" s="107" t="n"/>
      <c r="K201" s="107" t="n"/>
      <c r="L201" s="107" t="n"/>
      <c r="M201" s="106" t="n"/>
      <c r="N201" s="62" t="n"/>
      <c r="O201" s="49" t="n"/>
      <c r="P201" s="49" t="n"/>
      <c r="Q201" s="105" t="n"/>
      <c r="R201" s="105" t="n"/>
      <c r="S201" s="105" t="n"/>
      <c r="T201" s="105" t="n"/>
      <c r="U201" s="108">
        <f>IF(OR(H201="",I201="",I201=0),"",H201/I201)</f>
        <v/>
      </c>
      <c r="V201" s="109">
        <f>IF(OR(B201="",C201="",L201=""),"",MAX(0,C201-B201))</f>
        <v/>
      </c>
      <c r="W201" s="110">
        <f>IF(OR(L201="",U201=""),"",IF(E201="Short",(I201-L201)*U201,(L201-I201)*U201))</f>
        <v/>
      </c>
      <c r="X201" s="110">
        <f>IF(W201="","",W201-IF(M201="",0,M201))</f>
        <v/>
      </c>
      <c r="Y201" s="111">
        <f>IF(OR(X201="",H201="",H201=0),"",X201/H201)</f>
        <v/>
      </c>
      <c r="Z201" s="112">
        <f>IF(OR(I201="",J201="",U201=""),"",ABS(I201-J201)*U201)</f>
        <v/>
      </c>
      <c r="AA201" s="113">
        <f>IF(OR(X201="",Z201="",Z201=0),"",X201/Z201)</f>
        <v/>
      </c>
      <c r="AB201" s="114">
        <f>IF(OR(I201="",J201="",K201="",I201=J201),"",ABS(K201-I201)/ABS(I201-J201))</f>
        <v/>
      </c>
      <c r="AC201" s="51">
        <f>IF(OR(B201="",D201="",H201="",I201=""),"",IF(L201="","Ouvert",IF(X201&gt;0,"Gagné",IF(X201&lt;0,"Perdu","Neutre"))))</f>
        <v/>
      </c>
      <c r="AD201" s="115">
        <f>IF(X201="","",IF(C201="",B201,C201))</f>
        <v/>
      </c>
      <c r="AE201" s="109">
        <f>IF(B201="","",WEEKDAY(B201,2))</f>
        <v/>
      </c>
      <c r="AF201" s="112">
        <f>IF(X201="","",'Paramètres'!$C$9+SUM($X$6:X201))</f>
        <v/>
      </c>
      <c r="AG201" s="112">
        <f>IF(AF201="","",MAX('Paramètres'!$C$9,MAX($AF$6:AF201)))</f>
        <v/>
      </c>
      <c r="AH201" s="116">
        <f>IF(AF201="","",AF201/AG201-1)</f>
        <v/>
      </c>
      <c r="AI201" s="109">
        <f>IF(X201="","",IF(X201&gt;0,IF(N(AI200)&gt;0,N(AI200)+1,1),IF(X201&lt;0,IF(N(AI200)&lt;0,N(AI200)-1,-1),0)))</f>
        <v/>
      </c>
      <c r="AJ201" s="116">
        <f>IF(Z201="","",IFERROR(Z201/('Paramètres'!$C$9+SUM($X$5:X200)),""))</f>
        <v/>
      </c>
      <c r="AK201" s="109">
        <f>IF(AC201="Ouvert",COUNTIF($AC$6:AC201,"Ouvert"),"")</f>
        <v/>
      </c>
    </row>
    <row r="202" ht="19" customHeight="1">
      <c r="A202" s="104">
        <f>IF(B202="","",ROW()-5)</f>
        <v/>
      </c>
      <c r="B202" s="61" t="n"/>
      <c r="C202" s="61" t="n"/>
      <c r="D202" s="105" t="n"/>
      <c r="E202" s="49" t="n"/>
      <c r="F202" s="105" t="n"/>
      <c r="G202" s="49" t="n"/>
      <c r="H202" s="106" t="n"/>
      <c r="I202" s="107" t="n"/>
      <c r="J202" s="107" t="n"/>
      <c r="K202" s="107" t="n"/>
      <c r="L202" s="107" t="n"/>
      <c r="M202" s="106" t="n"/>
      <c r="N202" s="62" t="n"/>
      <c r="O202" s="49" t="n"/>
      <c r="P202" s="49" t="n"/>
      <c r="Q202" s="105" t="n"/>
      <c r="R202" s="105" t="n"/>
      <c r="S202" s="105" t="n"/>
      <c r="T202" s="105" t="n"/>
      <c r="U202" s="108">
        <f>IF(OR(H202="",I202="",I202=0),"",H202/I202)</f>
        <v/>
      </c>
      <c r="V202" s="109">
        <f>IF(OR(B202="",C202="",L202=""),"",MAX(0,C202-B202))</f>
        <v/>
      </c>
      <c r="W202" s="110">
        <f>IF(OR(L202="",U202=""),"",IF(E202="Short",(I202-L202)*U202,(L202-I202)*U202))</f>
        <v/>
      </c>
      <c r="X202" s="110">
        <f>IF(W202="","",W202-IF(M202="",0,M202))</f>
        <v/>
      </c>
      <c r="Y202" s="111">
        <f>IF(OR(X202="",H202="",H202=0),"",X202/H202)</f>
        <v/>
      </c>
      <c r="Z202" s="112">
        <f>IF(OR(I202="",J202="",U202=""),"",ABS(I202-J202)*U202)</f>
        <v/>
      </c>
      <c r="AA202" s="113">
        <f>IF(OR(X202="",Z202="",Z202=0),"",X202/Z202)</f>
        <v/>
      </c>
      <c r="AB202" s="114">
        <f>IF(OR(I202="",J202="",K202="",I202=J202),"",ABS(K202-I202)/ABS(I202-J202))</f>
        <v/>
      </c>
      <c r="AC202" s="51">
        <f>IF(OR(B202="",D202="",H202="",I202=""),"",IF(L202="","Ouvert",IF(X202&gt;0,"Gagné",IF(X202&lt;0,"Perdu","Neutre"))))</f>
        <v/>
      </c>
      <c r="AD202" s="115">
        <f>IF(X202="","",IF(C202="",B202,C202))</f>
        <v/>
      </c>
      <c r="AE202" s="109">
        <f>IF(B202="","",WEEKDAY(B202,2))</f>
        <v/>
      </c>
      <c r="AF202" s="112">
        <f>IF(X202="","",'Paramètres'!$C$9+SUM($X$6:X202))</f>
        <v/>
      </c>
      <c r="AG202" s="112">
        <f>IF(AF202="","",MAX('Paramètres'!$C$9,MAX($AF$6:AF202)))</f>
        <v/>
      </c>
      <c r="AH202" s="116">
        <f>IF(AF202="","",AF202/AG202-1)</f>
        <v/>
      </c>
      <c r="AI202" s="109">
        <f>IF(X202="","",IF(X202&gt;0,IF(N(AI201)&gt;0,N(AI201)+1,1),IF(X202&lt;0,IF(N(AI201)&lt;0,N(AI201)-1,-1),0)))</f>
        <v/>
      </c>
      <c r="AJ202" s="116">
        <f>IF(Z202="","",IFERROR(Z202/('Paramètres'!$C$9+SUM($X$5:X201)),""))</f>
        <v/>
      </c>
      <c r="AK202" s="109">
        <f>IF(AC202="Ouvert",COUNTIF($AC$6:AC202,"Ouvert"),"")</f>
        <v/>
      </c>
    </row>
    <row r="203" ht="19" customHeight="1">
      <c r="A203" s="104">
        <f>IF(B203="","",ROW()-5)</f>
        <v/>
      </c>
      <c r="B203" s="61" t="n"/>
      <c r="C203" s="61" t="n"/>
      <c r="D203" s="105" t="n"/>
      <c r="E203" s="49" t="n"/>
      <c r="F203" s="105" t="n"/>
      <c r="G203" s="49" t="n"/>
      <c r="H203" s="106" t="n"/>
      <c r="I203" s="107" t="n"/>
      <c r="J203" s="107" t="n"/>
      <c r="K203" s="107" t="n"/>
      <c r="L203" s="107" t="n"/>
      <c r="M203" s="106" t="n"/>
      <c r="N203" s="62" t="n"/>
      <c r="O203" s="49" t="n"/>
      <c r="P203" s="49" t="n"/>
      <c r="Q203" s="105" t="n"/>
      <c r="R203" s="105" t="n"/>
      <c r="S203" s="105" t="n"/>
      <c r="T203" s="105" t="n"/>
      <c r="U203" s="108">
        <f>IF(OR(H203="",I203="",I203=0),"",H203/I203)</f>
        <v/>
      </c>
      <c r="V203" s="109">
        <f>IF(OR(B203="",C203="",L203=""),"",MAX(0,C203-B203))</f>
        <v/>
      </c>
      <c r="W203" s="110">
        <f>IF(OR(L203="",U203=""),"",IF(E203="Short",(I203-L203)*U203,(L203-I203)*U203))</f>
        <v/>
      </c>
      <c r="X203" s="110">
        <f>IF(W203="","",W203-IF(M203="",0,M203))</f>
        <v/>
      </c>
      <c r="Y203" s="111">
        <f>IF(OR(X203="",H203="",H203=0),"",X203/H203)</f>
        <v/>
      </c>
      <c r="Z203" s="112">
        <f>IF(OR(I203="",J203="",U203=""),"",ABS(I203-J203)*U203)</f>
        <v/>
      </c>
      <c r="AA203" s="113">
        <f>IF(OR(X203="",Z203="",Z203=0),"",X203/Z203)</f>
        <v/>
      </c>
      <c r="AB203" s="114">
        <f>IF(OR(I203="",J203="",K203="",I203=J203),"",ABS(K203-I203)/ABS(I203-J203))</f>
        <v/>
      </c>
      <c r="AC203" s="51">
        <f>IF(OR(B203="",D203="",H203="",I203=""),"",IF(L203="","Ouvert",IF(X203&gt;0,"Gagné",IF(X203&lt;0,"Perdu","Neutre"))))</f>
        <v/>
      </c>
      <c r="AD203" s="115">
        <f>IF(X203="","",IF(C203="",B203,C203))</f>
        <v/>
      </c>
      <c r="AE203" s="109">
        <f>IF(B203="","",WEEKDAY(B203,2))</f>
        <v/>
      </c>
      <c r="AF203" s="112">
        <f>IF(X203="","",'Paramètres'!$C$9+SUM($X$6:X203))</f>
        <v/>
      </c>
      <c r="AG203" s="112">
        <f>IF(AF203="","",MAX('Paramètres'!$C$9,MAX($AF$6:AF203)))</f>
        <v/>
      </c>
      <c r="AH203" s="116">
        <f>IF(AF203="","",AF203/AG203-1)</f>
        <v/>
      </c>
      <c r="AI203" s="109">
        <f>IF(X203="","",IF(X203&gt;0,IF(N(AI202)&gt;0,N(AI202)+1,1),IF(X203&lt;0,IF(N(AI202)&lt;0,N(AI202)-1,-1),0)))</f>
        <v/>
      </c>
      <c r="AJ203" s="116">
        <f>IF(Z203="","",IFERROR(Z203/('Paramètres'!$C$9+SUM($X$5:X202)),""))</f>
        <v/>
      </c>
      <c r="AK203" s="109">
        <f>IF(AC203="Ouvert",COUNTIF($AC$6:AC203,"Ouvert"),"")</f>
        <v/>
      </c>
    </row>
    <row r="204" ht="19" customHeight="1">
      <c r="A204" s="104">
        <f>IF(B204="","",ROW()-5)</f>
        <v/>
      </c>
      <c r="B204" s="61" t="n"/>
      <c r="C204" s="61" t="n"/>
      <c r="D204" s="105" t="n"/>
      <c r="E204" s="49" t="n"/>
      <c r="F204" s="105" t="n"/>
      <c r="G204" s="49" t="n"/>
      <c r="H204" s="106" t="n"/>
      <c r="I204" s="107" t="n"/>
      <c r="J204" s="107" t="n"/>
      <c r="K204" s="107" t="n"/>
      <c r="L204" s="107" t="n"/>
      <c r="M204" s="106" t="n"/>
      <c r="N204" s="62" t="n"/>
      <c r="O204" s="49" t="n"/>
      <c r="P204" s="49" t="n"/>
      <c r="Q204" s="105" t="n"/>
      <c r="R204" s="105" t="n"/>
      <c r="S204" s="105" t="n"/>
      <c r="T204" s="105" t="n"/>
      <c r="U204" s="108">
        <f>IF(OR(H204="",I204="",I204=0),"",H204/I204)</f>
        <v/>
      </c>
      <c r="V204" s="109">
        <f>IF(OR(B204="",C204="",L204=""),"",MAX(0,C204-B204))</f>
        <v/>
      </c>
      <c r="W204" s="110">
        <f>IF(OR(L204="",U204=""),"",IF(E204="Short",(I204-L204)*U204,(L204-I204)*U204))</f>
        <v/>
      </c>
      <c r="X204" s="110">
        <f>IF(W204="","",W204-IF(M204="",0,M204))</f>
        <v/>
      </c>
      <c r="Y204" s="111">
        <f>IF(OR(X204="",H204="",H204=0),"",X204/H204)</f>
        <v/>
      </c>
      <c r="Z204" s="112">
        <f>IF(OR(I204="",J204="",U204=""),"",ABS(I204-J204)*U204)</f>
        <v/>
      </c>
      <c r="AA204" s="113">
        <f>IF(OR(X204="",Z204="",Z204=0),"",X204/Z204)</f>
        <v/>
      </c>
      <c r="AB204" s="114">
        <f>IF(OR(I204="",J204="",K204="",I204=J204),"",ABS(K204-I204)/ABS(I204-J204))</f>
        <v/>
      </c>
      <c r="AC204" s="51">
        <f>IF(OR(B204="",D204="",H204="",I204=""),"",IF(L204="","Ouvert",IF(X204&gt;0,"Gagné",IF(X204&lt;0,"Perdu","Neutre"))))</f>
        <v/>
      </c>
      <c r="AD204" s="115">
        <f>IF(X204="","",IF(C204="",B204,C204))</f>
        <v/>
      </c>
      <c r="AE204" s="109">
        <f>IF(B204="","",WEEKDAY(B204,2))</f>
        <v/>
      </c>
      <c r="AF204" s="112">
        <f>IF(X204="","",'Paramètres'!$C$9+SUM($X$6:X204))</f>
        <v/>
      </c>
      <c r="AG204" s="112">
        <f>IF(AF204="","",MAX('Paramètres'!$C$9,MAX($AF$6:AF204)))</f>
        <v/>
      </c>
      <c r="AH204" s="116">
        <f>IF(AF204="","",AF204/AG204-1)</f>
        <v/>
      </c>
      <c r="AI204" s="109">
        <f>IF(X204="","",IF(X204&gt;0,IF(N(AI203)&gt;0,N(AI203)+1,1),IF(X204&lt;0,IF(N(AI203)&lt;0,N(AI203)-1,-1),0)))</f>
        <v/>
      </c>
      <c r="AJ204" s="116">
        <f>IF(Z204="","",IFERROR(Z204/('Paramètres'!$C$9+SUM($X$5:X203)),""))</f>
        <v/>
      </c>
      <c r="AK204" s="109">
        <f>IF(AC204="Ouvert",COUNTIF($AC$6:AC204,"Ouvert"),"")</f>
        <v/>
      </c>
    </row>
    <row r="205" ht="19" customHeight="1">
      <c r="A205" s="104">
        <f>IF(B205="","",ROW()-5)</f>
        <v/>
      </c>
      <c r="B205" s="61" t="n"/>
      <c r="C205" s="61" t="n"/>
      <c r="D205" s="105" t="n"/>
      <c r="E205" s="49" t="n"/>
      <c r="F205" s="105" t="n"/>
      <c r="G205" s="49" t="n"/>
      <c r="H205" s="106" t="n"/>
      <c r="I205" s="107" t="n"/>
      <c r="J205" s="107" t="n"/>
      <c r="K205" s="107" t="n"/>
      <c r="L205" s="107" t="n"/>
      <c r="M205" s="106" t="n"/>
      <c r="N205" s="62" t="n"/>
      <c r="O205" s="49" t="n"/>
      <c r="P205" s="49" t="n"/>
      <c r="Q205" s="105" t="n"/>
      <c r="R205" s="105" t="n"/>
      <c r="S205" s="105" t="n"/>
      <c r="T205" s="105" t="n"/>
      <c r="U205" s="108">
        <f>IF(OR(H205="",I205="",I205=0),"",H205/I205)</f>
        <v/>
      </c>
      <c r="V205" s="109">
        <f>IF(OR(B205="",C205="",L205=""),"",MAX(0,C205-B205))</f>
        <v/>
      </c>
      <c r="W205" s="110">
        <f>IF(OR(L205="",U205=""),"",IF(E205="Short",(I205-L205)*U205,(L205-I205)*U205))</f>
        <v/>
      </c>
      <c r="X205" s="110">
        <f>IF(W205="","",W205-IF(M205="",0,M205))</f>
        <v/>
      </c>
      <c r="Y205" s="111">
        <f>IF(OR(X205="",H205="",H205=0),"",X205/H205)</f>
        <v/>
      </c>
      <c r="Z205" s="112">
        <f>IF(OR(I205="",J205="",U205=""),"",ABS(I205-J205)*U205)</f>
        <v/>
      </c>
      <c r="AA205" s="113">
        <f>IF(OR(X205="",Z205="",Z205=0),"",X205/Z205)</f>
        <v/>
      </c>
      <c r="AB205" s="114">
        <f>IF(OR(I205="",J205="",K205="",I205=J205),"",ABS(K205-I205)/ABS(I205-J205))</f>
        <v/>
      </c>
      <c r="AC205" s="51">
        <f>IF(OR(B205="",D205="",H205="",I205=""),"",IF(L205="","Ouvert",IF(X205&gt;0,"Gagné",IF(X205&lt;0,"Perdu","Neutre"))))</f>
        <v/>
      </c>
      <c r="AD205" s="115">
        <f>IF(X205="","",IF(C205="",B205,C205))</f>
        <v/>
      </c>
      <c r="AE205" s="109">
        <f>IF(B205="","",WEEKDAY(B205,2))</f>
        <v/>
      </c>
      <c r="AF205" s="112">
        <f>IF(X205="","",'Paramètres'!$C$9+SUM($X$6:X205))</f>
        <v/>
      </c>
      <c r="AG205" s="112">
        <f>IF(AF205="","",MAX('Paramètres'!$C$9,MAX($AF$6:AF205)))</f>
        <v/>
      </c>
      <c r="AH205" s="116">
        <f>IF(AF205="","",AF205/AG205-1)</f>
        <v/>
      </c>
      <c r="AI205" s="109">
        <f>IF(X205="","",IF(X205&gt;0,IF(N(AI204)&gt;0,N(AI204)+1,1),IF(X205&lt;0,IF(N(AI204)&lt;0,N(AI204)-1,-1),0)))</f>
        <v/>
      </c>
      <c r="AJ205" s="116">
        <f>IF(Z205="","",IFERROR(Z205/('Paramètres'!$C$9+SUM($X$5:X204)),""))</f>
        <v/>
      </c>
      <c r="AK205" s="109">
        <f>IF(AC205="Ouvert",COUNTIF($AC$6:AC205,"Ouvert"),"")</f>
        <v/>
      </c>
    </row>
    <row r="206" ht="19" customHeight="1">
      <c r="A206" s="104">
        <f>IF(B206="","",ROW()-5)</f>
        <v/>
      </c>
      <c r="B206" s="61" t="n"/>
      <c r="C206" s="61" t="n"/>
      <c r="D206" s="105" t="n"/>
      <c r="E206" s="49" t="n"/>
      <c r="F206" s="105" t="n"/>
      <c r="G206" s="49" t="n"/>
      <c r="H206" s="106" t="n"/>
      <c r="I206" s="107" t="n"/>
      <c r="J206" s="107" t="n"/>
      <c r="K206" s="107" t="n"/>
      <c r="L206" s="107" t="n"/>
      <c r="M206" s="106" t="n"/>
      <c r="N206" s="62" t="n"/>
      <c r="O206" s="49" t="n"/>
      <c r="P206" s="49" t="n"/>
      <c r="Q206" s="105" t="n"/>
      <c r="R206" s="105" t="n"/>
      <c r="S206" s="105" t="n"/>
      <c r="T206" s="105" t="n"/>
      <c r="U206" s="108">
        <f>IF(OR(H206="",I206="",I206=0),"",H206/I206)</f>
        <v/>
      </c>
      <c r="V206" s="109">
        <f>IF(OR(B206="",C206="",L206=""),"",MAX(0,C206-B206))</f>
        <v/>
      </c>
      <c r="W206" s="110">
        <f>IF(OR(L206="",U206=""),"",IF(E206="Short",(I206-L206)*U206,(L206-I206)*U206))</f>
        <v/>
      </c>
      <c r="X206" s="110">
        <f>IF(W206="","",W206-IF(M206="",0,M206))</f>
        <v/>
      </c>
      <c r="Y206" s="111">
        <f>IF(OR(X206="",H206="",H206=0),"",X206/H206)</f>
        <v/>
      </c>
      <c r="Z206" s="112">
        <f>IF(OR(I206="",J206="",U206=""),"",ABS(I206-J206)*U206)</f>
        <v/>
      </c>
      <c r="AA206" s="113">
        <f>IF(OR(X206="",Z206="",Z206=0),"",X206/Z206)</f>
        <v/>
      </c>
      <c r="AB206" s="114">
        <f>IF(OR(I206="",J206="",K206="",I206=J206),"",ABS(K206-I206)/ABS(I206-J206))</f>
        <v/>
      </c>
      <c r="AC206" s="51">
        <f>IF(OR(B206="",D206="",H206="",I206=""),"",IF(L206="","Ouvert",IF(X206&gt;0,"Gagné",IF(X206&lt;0,"Perdu","Neutre"))))</f>
        <v/>
      </c>
      <c r="AD206" s="115">
        <f>IF(X206="","",IF(C206="",B206,C206))</f>
        <v/>
      </c>
      <c r="AE206" s="109">
        <f>IF(B206="","",WEEKDAY(B206,2))</f>
        <v/>
      </c>
      <c r="AF206" s="112">
        <f>IF(X206="","",'Paramètres'!$C$9+SUM($X$6:X206))</f>
        <v/>
      </c>
      <c r="AG206" s="112">
        <f>IF(AF206="","",MAX('Paramètres'!$C$9,MAX($AF$6:AF206)))</f>
        <v/>
      </c>
      <c r="AH206" s="116">
        <f>IF(AF206="","",AF206/AG206-1)</f>
        <v/>
      </c>
      <c r="AI206" s="109">
        <f>IF(X206="","",IF(X206&gt;0,IF(N(AI205)&gt;0,N(AI205)+1,1),IF(X206&lt;0,IF(N(AI205)&lt;0,N(AI205)-1,-1),0)))</f>
        <v/>
      </c>
      <c r="AJ206" s="116">
        <f>IF(Z206="","",IFERROR(Z206/('Paramètres'!$C$9+SUM($X$5:X205)),""))</f>
        <v/>
      </c>
      <c r="AK206" s="109">
        <f>IF(AC206="Ouvert",COUNTIF($AC$6:AC206,"Ouvert"),"")</f>
        <v/>
      </c>
    </row>
    <row r="207" ht="19" customHeight="1">
      <c r="A207" s="104">
        <f>IF(B207="","",ROW()-5)</f>
        <v/>
      </c>
      <c r="B207" s="61" t="n"/>
      <c r="C207" s="61" t="n"/>
      <c r="D207" s="105" t="n"/>
      <c r="E207" s="49" t="n"/>
      <c r="F207" s="105" t="n"/>
      <c r="G207" s="49" t="n"/>
      <c r="H207" s="106" t="n"/>
      <c r="I207" s="107" t="n"/>
      <c r="J207" s="107" t="n"/>
      <c r="K207" s="107" t="n"/>
      <c r="L207" s="107" t="n"/>
      <c r="M207" s="106" t="n"/>
      <c r="N207" s="62" t="n"/>
      <c r="O207" s="49" t="n"/>
      <c r="P207" s="49" t="n"/>
      <c r="Q207" s="105" t="n"/>
      <c r="R207" s="105" t="n"/>
      <c r="S207" s="105" t="n"/>
      <c r="T207" s="105" t="n"/>
      <c r="U207" s="108">
        <f>IF(OR(H207="",I207="",I207=0),"",H207/I207)</f>
        <v/>
      </c>
      <c r="V207" s="109">
        <f>IF(OR(B207="",C207="",L207=""),"",MAX(0,C207-B207))</f>
        <v/>
      </c>
      <c r="W207" s="110">
        <f>IF(OR(L207="",U207=""),"",IF(E207="Short",(I207-L207)*U207,(L207-I207)*U207))</f>
        <v/>
      </c>
      <c r="X207" s="110">
        <f>IF(W207="","",W207-IF(M207="",0,M207))</f>
        <v/>
      </c>
      <c r="Y207" s="111">
        <f>IF(OR(X207="",H207="",H207=0),"",X207/H207)</f>
        <v/>
      </c>
      <c r="Z207" s="112">
        <f>IF(OR(I207="",J207="",U207=""),"",ABS(I207-J207)*U207)</f>
        <v/>
      </c>
      <c r="AA207" s="113">
        <f>IF(OR(X207="",Z207="",Z207=0),"",X207/Z207)</f>
        <v/>
      </c>
      <c r="AB207" s="114">
        <f>IF(OR(I207="",J207="",K207="",I207=J207),"",ABS(K207-I207)/ABS(I207-J207))</f>
        <v/>
      </c>
      <c r="AC207" s="51">
        <f>IF(OR(B207="",D207="",H207="",I207=""),"",IF(L207="","Ouvert",IF(X207&gt;0,"Gagné",IF(X207&lt;0,"Perdu","Neutre"))))</f>
        <v/>
      </c>
      <c r="AD207" s="115">
        <f>IF(X207="","",IF(C207="",B207,C207))</f>
        <v/>
      </c>
      <c r="AE207" s="109">
        <f>IF(B207="","",WEEKDAY(B207,2))</f>
        <v/>
      </c>
      <c r="AF207" s="112">
        <f>IF(X207="","",'Paramètres'!$C$9+SUM($X$6:X207))</f>
        <v/>
      </c>
      <c r="AG207" s="112">
        <f>IF(AF207="","",MAX('Paramètres'!$C$9,MAX($AF$6:AF207)))</f>
        <v/>
      </c>
      <c r="AH207" s="116">
        <f>IF(AF207="","",AF207/AG207-1)</f>
        <v/>
      </c>
      <c r="AI207" s="109">
        <f>IF(X207="","",IF(X207&gt;0,IF(N(AI206)&gt;0,N(AI206)+1,1),IF(X207&lt;0,IF(N(AI206)&lt;0,N(AI206)-1,-1),0)))</f>
        <v/>
      </c>
      <c r="AJ207" s="116">
        <f>IF(Z207="","",IFERROR(Z207/('Paramètres'!$C$9+SUM($X$5:X206)),""))</f>
        <v/>
      </c>
      <c r="AK207" s="109">
        <f>IF(AC207="Ouvert",COUNTIF($AC$6:AC207,"Ouvert"),"")</f>
        <v/>
      </c>
    </row>
    <row r="208" ht="19" customHeight="1">
      <c r="A208" s="104">
        <f>IF(B208="","",ROW()-5)</f>
        <v/>
      </c>
      <c r="B208" s="61" t="n"/>
      <c r="C208" s="61" t="n"/>
      <c r="D208" s="105" t="n"/>
      <c r="E208" s="49" t="n"/>
      <c r="F208" s="105" t="n"/>
      <c r="G208" s="49" t="n"/>
      <c r="H208" s="106" t="n"/>
      <c r="I208" s="107" t="n"/>
      <c r="J208" s="107" t="n"/>
      <c r="K208" s="107" t="n"/>
      <c r="L208" s="107" t="n"/>
      <c r="M208" s="106" t="n"/>
      <c r="N208" s="62" t="n"/>
      <c r="O208" s="49" t="n"/>
      <c r="P208" s="49" t="n"/>
      <c r="Q208" s="105" t="n"/>
      <c r="R208" s="105" t="n"/>
      <c r="S208" s="105" t="n"/>
      <c r="T208" s="105" t="n"/>
      <c r="U208" s="108">
        <f>IF(OR(H208="",I208="",I208=0),"",H208/I208)</f>
        <v/>
      </c>
      <c r="V208" s="109">
        <f>IF(OR(B208="",C208="",L208=""),"",MAX(0,C208-B208))</f>
        <v/>
      </c>
      <c r="W208" s="110">
        <f>IF(OR(L208="",U208=""),"",IF(E208="Short",(I208-L208)*U208,(L208-I208)*U208))</f>
        <v/>
      </c>
      <c r="X208" s="110">
        <f>IF(W208="","",W208-IF(M208="",0,M208))</f>
        <v/>
      </c>
      <c r="Y208" s="111">
        <f>IF(OR(X208="",H208="",H208=0),"",X208/H208)</f>
        <v/>
      </c>
      <c r="Z208" s="112">
        <f>IF(OR(I208="",J208="",U208=""),"",ABS(I208-J208)*U208)</f>
        <v/>
      </c>
      <c r="AA208" s="113">
        <f>IF(OR(X208="",Z208="",Z208=0),"",X208/Z208)</f>
        <v/>
      </c>
      <c r="AB208" s="114">
        <f>IF(OR(I208="",J208="",K208="",I208=J208),"",ABS(K208-I208)/ABS(I208-J208))</f>
        <v/>
      </c>
      <c r="AC208" s="51">
        <f>IF(OR(B208="",D208="",H208="",I208=""),"",IF(L208="","Ouvert",IF(X208&gt;0,"Gagné",IF(X208&lt;0,"Perdu","Neutre"))))</f>
        <v/>
      </c>
      <c r="AD208" s="115">
        <f>IF(X208="","",IF(C208="",B208,C208))</f>
        <v/>
      </c>
      <c r="AE208" s="109">
        <f>IF(B208="","",WEEKDAY(B208,2))</f>
        <v/>
      </c>
      <c r="AF208" s="112">
        <f>IF(X208="","",'Paramètres'!$C$9+SUM($X$6:X208))</f>
        <v/>
      </c>
      <c r="AG208" s="112">
        <f>IF(AF208="","",MAX('Paramètres'!$C$9,MAX($AF$6:AF208)))</f>
        <v/>
      </c>
      <c r="AH208" s="116">
        <f>IF(AF208="","",AF208/AG208-1)</f>
        <v/>
      </c>
      <c r="AI208" s="109">
        <f>IF(X208="","",IF(X208&gt;0,IF(N(AI207)&gt;0,N(AI207)+1,1),IF(X208&lt;0,IF(N(AI207)&lt;0,N(AI207)-1,-1),0)))</f>
        <v/>
      </c>
      <c r="AJ208" s="116">
        <f>IF(Z208="","",IFERROR(Z208/('Paramètres'!$C$9+SUM($X$5:X207)),""))</f>
        <v/>
      </c>
      <c r="AK208" s="109">
        <f>IF(AC208="Ouvert",COUNTIF($AC$6:AC208,"Ouvert"),"")</f>
        <v/>
      </c>
    </row>
    <row r="209" ht="19" customHeight="1">
      <c r="A209" s="104">
        <f>IF(B209="","",ROW()-5)</f>
        <v/>
      </c>
      <c r="B209" s="61" t="n"/>
      <c r="C209" s="61" t="n"/>
      <c r="D209" s="105" t="n"/>
      <c r="E209" s="49" t="n"/>
      <c r="F209" s="105" t="n"/>
      <c r="G209" s="49" t="n"/>
      <c r="H209" s="106" t="n"/>
      <c r="I209" s="107" t="n"/>
      <c r="J209" s="107" t="n"/>
      <c r="K209" s="107" t="n"/>
      <c r="L209" s="107" t="n"/>
      <c r="M209" s="106" t="n"/>
      <c r="N209" s="62" t="n"/>
      <c r="O209" s="49" t="n"/>
      <c r="P209" s="49" t="n"/>
      <c r="Q209" s="105" t="n"/>
      <c r="R209" s="105" t="n"/>
      <c r="S209" s="105" t="n"/>
      <c r="T209" s="105" t="n"/>
      <c r="U209" s="108">
        <f>IF(OR(H209="",I209="",I209=0),"",H209/I209)</f>
        <v/>
      </c>
      <c r="V209" s="109">
        <f>IF(OR(B209="",C209="",L209=""),"",MAX(0,C209-B209))</f>
        <v/>
      </c>
      <c r="W209" s="110">
        <f>IF(OR(L209="",U209=""),"",IF(E209="Short",(I209-L209)*U209,(L209-I209)*U209))</f>
        <v/>
      </c>
      <c r="X209" s="110">
        <f>IF(W209="","",W209-IF(M209="",0,M209))</f>
        <v/>
      </c>
      <c r="Y209" s="111">
        <f>IF(OR(X209="",H209="",H209=0),"",X209/H209)</f>
        <v/>
      </c>
      <c r="Z209" s="112">
        <f>IF(OR(I209="",J209="",U209=""),"",ABS(I209-J209)*U209)</f>
        <v/>
      </c>
      <c r="AA209" s="113">
        <f>IF(OR(X209="",Z209="",Z209=0),"",X209/Z209)</f>
        <v/>
      </c>
      <c r="AB209" s="114">
        <f>IF(OR(I209="",J209="",K209="",I209=J209),"",ABS(K209-I209)/ABS(I209-J209))</f>
        <v/>
      </c>
      <c r="AC209" s="51">
        <f>IF(OR(B209="",D209="",H209="",I209=""),"",IF(L209="","Ouvert",IF(X209&gt;0,"Gagné",IF(X209&lt;0,"Perdu","Neutre"))))</f>
        <v/>
      </c>
      <c r="AD209" s="115">
        <f>IF(X209="","",IF(C209="",B209,C209))</f>
        <v/>
      </c>
      <c r="AE209" s="109">
        <f>IF(B209="","",WEEKDAY(B209,2))</f>
        <v/>
      </c>
      <c r="AF209" s="112">
        <f>IF(X209="","",'Paramètres'!$C$9+SUM($X$6:X209))</f>
        <v/>
      </c>
      <c r="AG209" s="112">
        <f>IF(AF209="","",MAX('Paramètres'!$C$9,MAX($AF$6:AF209)))</f>
        <v/>
      </c>
      <c r="AH209" s="116">
        <f>IF(AF209="","",AF209/AG209-1)</f>
        <v/>
      </c>
      <c r="AI209" s="109">
        <f>IF(X209="","",IF(X209&gt;0,IF(N(AI208)&gt;0,N(AI208)+1,1),IF(X209&lt;0,IF(N(AI208)&lt;0,N(AI208)-1,-1),0)))</f>
        <v/>
      </c>
      <c r="AJ209" s="116">
        <f>IF(Z209="","",IFERROR(Z209/('Paramètres'!$C$9+SUM($X$5:X208)),""))</f>
        <v/>
      </c>
      <c r="AK209" s="109">
        <f>IF(AC209="Ouvert",COUNTIF($AC$6:AC209,"Ouvert"),"")</f>
        <v/>
      </c>
    </row>
    <row r="210" ht="19" customHeight="1">
      <c r="A210" s="104">
        <f>IF(B210="","",ROW()-5)</f>
        <v/>
      </c>
      <c r="B210" s="61" t="n"/>
      <c r="C210" s="61" t="n"/>
      <c r="D210" s="105" t="n"/>
      <c r="E210" s="49" t="n"/>
      <c r="F210" s="105" t="n"/>
      <c r="G210" s="49" t="n"/>
      <c r="H210" s="106" t="n"/>
      <c r="I210" s="107" t="n"/>
      <c r="J210" s="107" t="n"/>
      <c r="K210" s="107" t="n"/>
      <c r="L210" s="107" t="n"/>
      <c r="M210" s="106" t="n"/>
      <c r="N210" s="62" t="n"/>
      <c r="O210" s="49" t="n"/>
      <c r="P210" s="49" t="n"/>
      <c r="Q210" s="105" t="n"/>
      <c r="R210" s="105" t="n"/>
      <c r="S210" s="105" t="n"/>
      <c r="T210" s="105" t="n"/>
      <c r="U210" s="108">
        <f>IF(OR(H210="",I210="",I210=0),"",H210/I210)</f>
        <v/>
      </c>
      <c r="V210" s="109">
        <f>IF(OR(B210="",C210="",L210=""),"",MAX(0,C210-B210))</f>
        <v/>
      </c>
      <c r="W210" s="110">
        <f>IF(OR(L210="",U210=""),"",IF(E210="Short",(I210-L210)*U210,(L210-I210)*U210))</f>
        <v/>
      </c>
      <c r="X210" s="110">
        <f>IF(W210="","",W210-IF(M210="",0,M210))</f>
        <v/>
      </c>
      <c r="Y210" s="111">
        <f>IF(OR(X210="",H210="",H210=0),"",X210/H210)</f>
        <v/>
      </c>
      <c r="Z210" s="112">
        <f>IF(OR(I210="",J210="",U210=""),"",ABS(I210-J210)*U210)</f>
        <v/>
      </c>
      <c r="AA210" s="113">
        <f>IF(OR(X210="",Z210="",Z210=0),"",X210/Z210)</f>
        <v/>
      </c>
      <c r="AB210" s="114">
        <f>IF(OR(I210="",J210="",K210="",I210=J210),"",ABS(K210-I210)/ABS(I210-J210))</f>
        <v/>
      </c>
      <c r="AC210" s="51">
        <f>IF(OR(B210="",D210="",H210="",I210=""),"",IF(L210="","Ouvert",IF(X210&gt;0,"Gagné",IF(X210&lt;0,"Perdu","Neutre"))))</f>
        <v/>
      </c>
      <c r="AD210" s="115">
        <f>IF(X210="","",IF(C210="",B210,C210))</f>
        <v/>
      </c>
      <c r="AE210" s="109">
        <f>IF(B210="","",WEEKDAY(B210,2))</f>
        <v/>
      </c>
      <c r="AF210" s="112">
        <f>IF(X210="","",'Paramètres'!$C$9+SUM($X$6:X210))</f>
        <v/>
      </c>
      <c r="AG210" s="112">
        <f>IF(AF210="","",MAX('Paramètres'!$C$9,MAX($AF$6:AF210)))</f>
        <v/>
      </c>
      <c r="AH210" s="116">
        <f>IF(AF210="","",AF210/AG210-1)</f>
        <v/>
      </c>
      <c r="AI210" s="109">
        <f>IF(X210="","",IF(X210&gt;0,IF(N(AI209)&gt;0,N(AI209)+1,1),IF(X210&lt;0,IF(N(AI209)&lt;0,N(AI209)-1,-1),0)))</f>
        <v/>
      </c>
      <c r="AJ210" s="116">
        <f>IF(Z210="","",IFERROR(Z210/('Paramètres'!$C$9+SUM($X$5:X209)),""))</f>
        <v/>
      </c>
      <c r="AK210" s="109">
        <f>IF(AC210="Ouvert",COUNTIF($AC$6:AC210,"Ouvert"),"")</f>
        <v/>
      </c>
    </row>
    <row r="211" ht="19" customHeight="1">
      <c r="A211" s="104">
        <f>IF(B211="","",ROW()-5)</f>
        <v/>
      </c>
      <c r="B211" s="61" t="n"/>
      <c r="C211" s="61" t="n"/>
      <c r="D211" s="105" t="n"/>
      <c r="E211" s="49" t="n"/>
      <c r="F211" s="105" t="n"/>
      <c r="G211" s="49" t="n"/>
      <c r="H211" s="106" t="n"/>
      <c r="I211" s="107" t="n"/>
      <c r="J211" s="107" t="n"/>
      <c r="K211" s="107" t="n"/>
      <c r="L211" s="107" t="n"/>
      <c r="M211" s="106" t="n"/>
      <c r="N211" s="62" t="n"/>
      <c r="O211" s="49" t="n"/>
      <c r="P211" s="49" t="n"/>
      <c r="Q211" s="105" t="n"/>
      <c r="R211" s="105" t="n"/>
      <c r="S211" s="105" t="n"/>
      <c r="T211" s="105" t="n"/>
      <c r="U211" s="108">
        <f>IF(OR(H211="",I211="",I211=0),"",H211/I211)</f>
        <v/>
      </c>
      <c r="V211" s="109">
        <f>IF(OR(B211="",C211="",L211=""),"",MAX(0,C211-B211))</f>
        <v/>
      </c>
      <c r="W211" s="110">
        <f>IF(OR(L211="",U211=""),"",IF(E211="Short",(I211-L211)*U211,(L211-I211)*U211))</f>
        <v/>
      </c>
      <c r="X211" s="110">
        <f>IF(W211="","",W211-IF(M211="",0,M211))</f>
        <v/>
      </c>
      <c r="Y211" s="111">
        <f>IF(OR(X211="",H211="",H211=0),"",X211/H211)</f>
        <v/>
      </c>
      <c r="Z211" s="112">
        <f>IF(OR(I211="",J211="",U211=""),"",ABS(I211-J211)*U211)</f>
        <v/>
      </c>
      <c r="AA211" s="113">
        <f>IF(OR(X211="",Z211="",Z211=0),"",X211/Z211)</f>
        <v/>
      </c>
      <c r="AB211" s="114">
        <f>IF(OR(I211="",J211="",K211="",I211=J211),"",ABS(K211-I211)/ABS(I211-J211))</f>
        <v/>
      </c>
      <c r="AC211" s="51">
        <f>IF(OR(B211="",D211="",H211="",I211=""),"",IF(L211="","Ouvert",IF(X211&gt;0,"Gagné",IF(X211&lt;0,"Perdu","Neutre"))))</f>
        <v/>
      </c>
      <c r="AD211" s="115">
        <f>IF(X211="","",IF(C211="",B211,C211))</f>
        <v/>
      </c>
      <c r="AE211" s="109">
        <f>IF(B211="","",WEEKDAY(B211,2))</f>
        <v/>
      </c>
      <c r="AF211" s="112">
        <f>IF(X211="","",'Paramètres'!$C$9+SUM($X$6:X211))</f>
        <v/>
      </c>
      <c r="AG211" s="112">
        <f>IF(AF211="","",MAX('Paramètres'!$C$9,MAX($AF$6:AF211)))</f>
        <v/>
      </c>
      <c r="AH211" s="116">
        <f>IF(AF211="","",AF211/AG211-1)</f>
        <v/>
      </c>
      <c r="AI211" s="109">
        <f>IF(X211="","",IF(X211&gt;0,IF(N(AI210)&gt;0,N(AI210)+1,1),IF(X211&lt;0,IF(N(AI210)&lt;0,N(AI210)-1,-1),0)))</f>
        <v/>
      </c>
      <c r="AJ211" s="116">
        <f>IF(Z211="","",IFERROR(Z211/('Paramètres'!$C$9+SUM($X$5:X210)),""))</f>
        <v/>
      </c>
      <c r="AK211" s="109">
        <f>IF(AC211="Ouvert",COUNTIF($AC$6:AC211,"Ouvert"),"")</f>
        <v/>
      </c>
    </row>
    <row r="212" ht="19" customHeight="1">
      <c r="A212" s="104">
        <f>IF(B212="","",ROW()-5)</f>
        <v/>
      </c>
      <c r="B212" s="61" t="n"/>
      <c r="C212" s="61" t="n"/>
      <c r="D212" s="105" t="n"/>
      <c r="E212" s="49" t="n"/>
      <c r="F212" s="105" t="n"/>
      <c r="G212" s="49" t="n"/>
      <c r="H212" s="106" t="n"/>
      <c r="I212" s="107" t="n"/>
      <c r="J212" s="107" t="n"/>
      <c r="K212" s="107" t="n"/>
      <c r="L212" s="107" t="n"/>
      <c r="M212" s="106" t="n"/>
      <c r="N212" s="62" t="n"/>
      <c r="O212" s="49" t="n"/>
      <c r="P212" s="49" t="n"/>
      <c r="Q212" s="105" t="n"/>
      <c r="R212" s="105" t="n"/>
      <c r="S212" s="105" t="n"/>
      <c r="T212" s="105" t="n"/>
      <c r="U212" s="108">
        <f>IF(OR(H212="",I212="",I212=0),"",H212/I212)</f>
        <v/>
      </c>
      <c r="V212" s="109">
        <f>IF(OR(B212="",C212="",L212=""),"",MAX(0,C212-B212))</f>
        <v/>
      </c>
      <c r="W212" s="110">
        <f>IF(OR(L212="",U212=""),"",IF(E212="Short",(I212-L212)*U212,(L212-I212)*U212))</f>
        <v/>
      </c>
      <c r="X212" s="110">
        <f>IF(W212="","",W212-IF(M212="",0,M212))</f>
        <v/>
      </c>
      <c r="Y212" s="111">
        <f>IF(OR(X212="",H212="",H212=0),"",X212/H212)</f>
        <v/>
      </c>
      <c r="Z212" s="112">
        <f>IF(OR(I212="",J212="",U212=""),"",ABS(I212-J212)*U212)</f>
        <v/>
      </c>
      <c r="AA212" s="113">
        <f>IF(OR(X212="",Z212="",Z212=0),"",X212/Z212)</f>
        <v/>
      </c>
      <c r="AB212" s="114">
        <f>IF(OR(I212="",J212="",K212="",I212=J212),"",ABS(K212-I212)/ABS(I212-J212))</f>
        <v/>
      </c>
      <c r="AC212" s="51">
        <f>IF(OR(B212="",D212="",H212="",I212=""),"",IF(L212="","Ouvert",IF(X212&gt;0,"Gagné",IF(X212&lt;0,"Perdu","Neutre"))))</f>
        <v/>
      </c>
      <c r="AD212" s="115">
        <f>IF(X212="","",IF(C212="",B212,C212))</f>
        <v/>
      </c>
      <c r="AE212" s="109">
        <f>IF(B212="","",WEEKDAY(B212,2))</f>
        <v/>
      </c>
      <c r="AF212" s="112">
        <f>IF(X212="","",'Paramètres'!$C$9+SUM($X$6:X212))</f>
        <v/>
      </c>
      <c r="AG212" s="112">
        <f>IF(AF212="","",MAX('Paramètres'!$C$9,MAX($AF$6:AF212)))</f>
        <v/>
      </c>
      <c r="AH212" s="116">
        <f>IF(AF212="","",AF212/AG212-1)</f>
        <v/>
      </c>
      <c r="AI212" s="109">
        <f>IF(X212="","",IF(X212&gt;0,IF(N(AI211)&gt;0,N(AI211)+1,1),IF(X212&lt;0,IF(N(AI211)&lt;0,N(AI211)-1,-1),0)))</f>
        <v/>
      </c>
      <c r="AJ212" s="116">
        <f>IF(Z212="","",IFERROR(Z212/('Paramètres'!$C$9+SUM($X$5:X211)),""))</f>
        <v/>
      </c>
      <c r="AK212" s="109">
        <f>IF(AC212="Ouvert",COUNTIF($AC$6:AC212,"Ouvert"),"")</f>
        <v/>
      </c>
    </row>
    <row r="213" ht="19" customHeight="1">
      <c r="A213" s="104">
        <f>IF(B213="","",ROW()-5)</f>
        <v/>
      </c>
      <c r="B213" s="61" t="n"/>
      <c r="C213" s="61" t="n"/>
      <c r="D213" s="105" t="n"/>
      <c r="E213" s="49" t="n"/>
      <c r="F213" s="105" t="n"/>
      <c r="G213" s="49" t="n"/>
      <c r="H213" s="106" t="n"/>
      <c r="I213" s="107" t="n"/>
      <c r="J213" s="107" t="n"/>
      <c r="K213" s="107" t="n"/>
      <c r="L213" s="107" t="n"/>
      <c r="M213" s="106" t="n"/>
      <c r="N213" s="62" t="n"/>
      <c r="O213" s="49" t="n"/>
      <c r="P213" s="49" t="n"/>
      <c r="Q213" s="105" t="n"/>
      <c r="R213" s="105" t="n"/>
      <c r="S213" s="105" t="n"/>
      <c r="T213" s="105" t="n"/>
      <c r="U213" s="108">
        <f>IF(OR(H213="",I213="",I213=0),"",H213/I213)</f>
        <v/>
      </c>
      <c r="V213" s="109">
        <f>IF(OR(B213="",C213="",L213=""),"",MAX(0,C213-B213))</f>
        <v/>
      </c>
      <c r="W213" s="110">
        <f>IF(OR(L213="",U213=""),"",IF(E213="Short",(I213-L213)*U213,(L213-I213)*U213))</f>
        <v/>
      </c>
      <c r="X213" s="110">
        <f>IF(W213="","",W213-IF(M213="",0,M213))</f>
        <v/>
      </c>
      <c r="Y213" s="111">
        <f>IF(OR(X213="",H213="",H213=0),"",X213/H213)</f>
        <v/>
      </c>
      <c r="Z213" s="112">
        <f>IF(OR(I213="",J213="",U213=""),"",ABS(I213-J213)*U213)</f>
        <v/>
      </c>
      <c r="AA213" s="113">
        <f>IF(OR(X213="",Z213="",Z213=0),"",X213/Z213)</f>
        <v/>
      </c>
      <c r="AB213" s="114">
        <f>IF(OR(I213="",J213="",K213="",I213=J213),"",ABS(K213-I213)/ABS(I213-J213))</f>
        <v/>
      </c>
      <c r="AC213" s="51">
        <f>IF(OR(B213="",D213="",H213="",I213=""),"",IF(L213="","Ouvert",IF(X213&gt;0,"Gagné",IF(X213&lt;0,"Perdu","Neutre"))))</f>
        <v/>
      </c>
      <c r="AD213" s="115">
        <f>IF(X213="","",IF(C213="",B213,C213))</f>
        <v/>
      </c>
      <c r="AE213" s="109">
        <f>IF(B213="","",WEEKDAY(B213,2))</f>
        <v/>
      </c>
      <c r="AF213" s="112">
        <f>IF(X213="","",'Paramètres'!$C$9+SUM($X$6:X213))</f>
        <v/>
      </c>
      <c r="AG213" s="112">
        <f>IF(AF213="","",MAX('Paramètres'!$C$9,MAX($AF$6:AF213)))</f>
        <v/>
      </c>
      <c r="AH213" s="116">
        <f>IF(AF213="","",AF213/AG213-1)</f>
        <v/>
      </c>
      <c r="AI213" s="109">
        <f>IF(X213="","",IF(X213&gt;0,IF(N(AI212)&gt;0,N(AI212)+1,1),IF(X213&lt;0,IF(N(AI212)&lt;0,N(AI212)-1,-1),0)))</f>
        <v/>
      </c>
      <c r="AJ213" s="116">
        <f>IF(Z213="","",IFERROR(Z213/('Paramètres'!$C$9+SUM($X$5:X212)),""))</f>
        <v/>
      </c>
      <c r="AK213" s="109">
        <f>IF(AC213="Ouvert",COUNTIF($AC$6:AC213,"Ouvert"),"")</f>
        <v/>
      </c>
    </row>
    <row r="214" ht="19" customHeight="1">
      <c r="A214" s="104">
        <f>IF(B214="","",ROW()-5)</f>
        <v/>
      </c>
      <c r="B214" s="61" t="n"/>
      <c r="C214" s="61" t="n"/>
      <c r="D214" s="105" t="n"/>
      <c r="E214" s="49" t="n"/>
      <c r="F214" s="105" t="n"/>
      <c r="G214" s="49" t="n"/>
      <c r="H214" s="106" t="n"/>
      <c r="I214" s="107" t="n"/>
      <c r="J214" s="107" t="n"/>
      <c r="K214" s="107" t="n"/>
      <c r="L214" s="107" t="n"/>
      <c r="M214" s="106" t="n"/>
      <c r="N214" s="62" t="n"/>
      <c r="O214" s="49" t="n"/>
      <c r="P214" s="49" t="n"/>
      <c r="Q214" s="105" t="n"/>
      <c r="R214" s="105" t="n"/>
      <c r="S214" s="105" t="n"/>
      <c r="T214" s="105" t="n"/>
      <c r="U214" s="108">
        <f>IF(OR(H214="",I214="",I214=0),"",H214/I214)</f>
        <v/>
      </c>
      <c r="V214" s="109">
        <f>IF(OR(B214="",C214="",L214=""),"",MAX(0,C214-B214))</f>
        <v/>
      </c>
      <c r="W214" s="110">
        <f>IF(OR(L214="",U214=""),"",IF(E214="Short",(I214-L214)*U214,(L214-I214)*U214))</f>
        <v/>
      </c>
      <c r="X214" s="110">
        <f>IF(W214="","",W214-IF(M214="",0,M214))</f>
        <v/>
      </c>
      <c r="Y214" s="111">
        <f>IF(OR(X214="",H214="",H214=0),"",X214/H214)</f>
        <v/>
      </c>
      <c r="Z214" s="112">
        <f>IF(OR(I214="",J214="",U214=""),"",ABS(I214-J214)*U214)</f>
        <v/>
      </c>
      <c r="AA214" s="113">
        <f>IF(OR(X214="",Z214="",Z214=0),"",X214/Z214)</f>
        <v/>
      </c>
      <c r="AB214" s="114">
        <f>IF(OR(I214="",J214="",K214="",I214=J214),"",ABS(K214-I214)/ABS(I214-J214))</f>
        <v/>
      </c>
      <c r="AC214" s="51">
        <f>IF(OR(B214="",D214="",H214="",I214=""),"",IF(L214="","Ouvert",IF(X214&gt;0,"Gagné",IF(X214&lt;0,"Perdu","Neutre"))))</f>
        <v/>
      </c>
      <c r="AD214" s="115">
        <f>IF(X214="","",IF(C214="",B214,C214))</f>
        <v/>
      </c>
      <c r="AE214" s="109">
        <f>IF(B214="","",WEEKDAY(B214,2))</f>
        <v/>
      </c>
      <c r="AF214" s="112">
        <f>IF(X214="","",'Paramètres'!$C$9+SUM($X$6:X214))</f>
        <v/>
      </c>
      <c r="AG214" s="112">
        <f>IF(AF214="","",MAX('Paramètres'!$C$9,MAX($AF$6:AF214)))</f>
        <v/>
      </c>
      <c r="AH214" s="116">
        <f>IF(AF214="","",AF214/AG214-1)</f>
        <v/>
      </c>
      <c r="AI214" s="109">
        <f>IF(X214="","",IF(X214&gt;0,IF(N(AI213)&gt;0,N(AI213)+1,1),IF(X214&lt;0,IF(N(AI213)&lt;0,N(AI213)-1,-1),0)))</f>
        <v/>
      </c>
      <c r="AJ214" s="116">
        <f>IF(Z214="","",IFERROR(Z214/('Paramètres'!$C$9+SUM($X$5:X213)),""))</f>
        <v/>
      </c>
      <c r="AK214" s="109">
        <f>IF(AC214="Ouvert",COUNTIF($AC$6:AC214,"Ouvert"),"")</f>
        <v/>
      </c>
    </row>
    <row r="215" ht="19" customHeight="1">
      <c r="A215" s="104">
        <f>IF(B215="","",ROW()-5)</f>
        <v/>
      </c>
      <c r="B215" s="61" t="n"/>
      <c r="C215" s="61" t="n"/>
      <c r="D215" s="105" t="n"/>
      <c r="E215" s="49" t="n"/>
      <c r="F215" s="105" t="n"/>
      <c r="G215" s="49" t="n"/>
      <c r="H215" s="106" t="n"/>
      <c r="I215" s="107" t="n"/>
      <c r="J215" s="107" t="n"/>
      <c r="K215" s="107" t="n"/>
      <c r="L215" s="107" t="n"/>
      <c r="M215" s="106" t="n"/>
      <c r="N215" s="62" t="n"/>
      <c r="O215" s="49" t="n"/>
      <c r="P215" s="49" t="n"/>
      <c r="Q215" s="105" t="n"/>
      <c r="R215" s="105" t="n"/>
      <c r="S215" s="105" t="n"/>
      <c r="T215" s="105" t="n"/>
      <c r="U215" s="108">
        <f>IF(OR(H215="",I215="",I215=0),"",H215/I215)</f>
        <v/>
      </c>
      <c r="V215" s="109">
        <f>IF(OR(B215="",C215="",L215=""),"",MAX(0,C215-B215))</f>
        <v/>
      </c>
      <c r="W215" s="110">
        <f>IF(OR(L215="",U215=""),"",IF(E215="Short",(I215-L215)*U215,(L215-I215)*U215))</f>
        <v/>
      </c>
      <c r="X215" s="110">
        <f>IF(W215="","",W215-IF(M215="",0,M215))</f>
        <v/>
      </c>
      <c r="Y215" s="111">
        <f>IF(OR(X215="",H215="",H215=0),"",X215/H215)</f>
        <v/>
      </c>
      <c r="Z215" s="112">
        <f>IF(OR(I215="",J215="",U215=""),"",ABS(I215-J215)*U215)</f>
        <v/>
      </c>
      <c r="AA215" s="113">
        <f>IF(OR(X215="",Z215="",Z215=0),"",X215/Z215)</f>
        <v/>
      </c>
      <c r="AB215" s="114">
        <f>IF(OR(I215="",J215="",K215="",I215=J215),"",ABS(K215-I215)/ABS(I215-J215))</f>
        <v/>
      </c>
      <c r="AC215" s="51">
        <f>IF(OR(B215="",D215="",H215="",I215=""),"",IF(L215="","Ouvert",IF(X215&gt;0,"Gagné",IF(X215&lt;0,"Perdu","Neutre"))))</f>
        <v/>
      </c>
      <c r="AD215" s="115">
        <f>IF(X215="","",IF(C215="",B215,C215))</f>
        <v/>
      </c>
      <c r="AE215" s="109">
        <f>IF(B215="","",WEEKDAY(B215,2))</f>
        <v/>
      </c>
      <c r="AF215" s="112">
        <f>IF(X215="","",'Paramètres'!$C$9+SUM($X$6:X215))</f>
        <v/>
      </c>
      <c r="AG215" s="112">
        <f>IF(AF215="","",MAX('Paramètres'!$C$9,MAX($AF$6:AF215)))</f>
        <v/>
      </c>
      <c r="AH215" s="116">
        <f>IF(AF215="","",AF215/AG215-1)</f>
        <v/>
      </c>
      <c r="AI215" s="109">
        <f>IF(X215="","",IF(X215&gt;0,IF(N(AI214)&gt;0,N(AI214)+1,1),IF(X215&lt;0,IF(N(AI214)&lt;0,N(AI214)-1,-1),0)))</f>
        <v/>
      </c>
      <c r="AJ215" s="116">
        <f>IF(Z215="","",IFERROR(Z215/('Paramètres'!$C$9+SUM($X$5:X214)),""))</f>
        <v/>
      </c>
      <c r="AK215" s="109">
        <f>IF(AC215="Ouvert",COUNTIF($AC$6:AC215,"Ouvert"),"")</f>
        <v/>
      </c>
    </row>
    <row r="216" ht="19" customHeight="1">
      <c r="A216" s="104">
        <f>IF(B216="","",ROW()-5)</f>
        <v/>
      </c>
      <c r="B216" s="61" t="n"/>
      <c r="C216" s="61" t="n"/>
      <c r="D216" s="105" t="n"/>
      <c r="E216" s="49" t="n"/>
      <c r="F216" s="105" t="n"/>
      <c r="G216" s="49" t="n"/>
      <c r="H216" s="106" t="n"/>
      <c r="I216" s="107" t="n"/>
      <c r="J216" s="107" t="n"/>
      <c r="K216" s="107" t="n"/>
      <c r="L216" s="107" t="n"/>
      <c r="M216" s="106" t="n"/>
      <c r="N216" s="62" t="n"/>
      <c r="O216" s="49" t="n"/>
      <c r="P216" s="49" t="n"/>
      <c r="Q216" s="105" t="n"/>
      <c r="R216" s="105" t="n"/>
      <c r="S216" s="105" t="n"/>
      <c r="T216" s="105" t="n"/>
      <c r="U216" s="108">
        <f>IF(OR(H216="",I216="",I216=0),"",H216/I216)</f>
        <v/>
      </c>
      <c r="V216" s="109">
        <f>IF(OR(B216="",C216="",L216=""),"",MAX(0,C216-B216))</f>
        <v/>
      </c>
      <c r="W216" s="110">
        <f>IF(OR(L216="",U216=""),"",IF(E216="Short",(I216-L216)*U216,(L216-I216)*U216))</f>
        <v/>
      </c>
      <c r="X216" s="110">
        <f>IF(W216="","",W216-IF(M216="",0,M216))</f>
        <v/>
      </c>
      <c r="Y216" s="111">
        <f>IF(OR(X216="",H216="",H216=0),"",X216/H216)</f>
        <v/>
      </c>
      <c r="Z216" s="112">
        <f>IF(OR(I216="",J216="",U216=""),"",ABS(I216-J216)*U216)</f>
        <v/>
      </c>
      <c r="AA216" s="113">
        <f>IF(OR(X216="",Z216="",Z216=0),"",X216/Z216)</f>
        <v/>
      </c>
      <c r="AB216" s="114">
        <f>IF(OR(I216="",J216="",K216="",I216=J216),"",ABS(K216-I216)/ABS(I216-J216))</f>
        <v/>
      </c>
      <c r="AC216" s="51">
        <f>IF(OR(B216="",D216="",H216="",I216=""),"",IF(L216="","Ouvert",IF(X216&gt;0,"Gagné",IF(X216&lt;0,"Perdu","Neutre"))))</f>
        <v/>
      </c>
      <c r="AD216" s="115">
        <f>IF(X216="","",IF(C216="",B216,C216))</f>
        <v/>
      </c>
      <c r="AE216" s="109">
        <f>IF(B216="","",WEEKDAY(B216,2))</f>
        <v/>
      </c>
      <c r="AF216" s="112">
        <f>IF(X216="","",'Paramètres'!$C$9+SUM($X$6:X216))</f>
        <v/>
      </c>
      <c r="AG216" s="112">
        <f>IF(AF216="","",MAX('Paramètres'!$C$9,MAX($AF$6:AF216)))</f>
        <v/>
      </c>
      <c r="AH216" s="116">
        <f>IF(AF216="","",AF216/AG216-1)</f>
        <v/>
      </c>
      <c r="AI216" s="109">
        <f>IF(X216="","",IF(X216&gt;0,IF(N(AI215)&gt;0,N(AI215)+1,1),IF(X216&lt;0,IF(N(AI215)&lt;0,N(AI215)-1,-1),0)))</f>
        <v/>
      </c>
      <c r="AJ216" s="116">
        <f>IF(Z216="","",IFERROR(Z216/('Paramètres'!$C$9+SUM($X$5:X215)),""))</f>
        <v/>
      </c>
      <c r="AK216" s="109">
        <f>IF(AC216="Ouvert",COUNTIF($AC$6:AC216,"Ouvert"),"")</f>
        <v/>
      </c>
    </row>
    <row r="217" ht="19" customHeight="1">
      <c r="A217" s="104">
        <f>IF(B217="","",ROW()-5)</f>
        <v/>
      </c>
      <c r="B217" s="61" t="n"/>
      <c r="C217" s="61" t="n"/>
      <c r="D217" s="105" t="n"/>
      <c r="E217" s="49" t="n"/>
      <c r="F217" s="105" t="n"/>
      <c r="G217" s="49" t="n"/>
      <c r="H217" s="106" t="n"/>
      <c r="I217" s="107" t="n"/>
      <c r="J217" s="107" t="n"/>
      <c r="K217" s="107" t="n"/>
      <c r="L217" s="107" t="n"/>
      <c r="M217" s="106" t="n"/>
      <c r="N217" s="62" t="n"/>
      <c r="O217" s="49" t="n"/>
      <c r="P217" s="49" t="n"/>
      <c r="Q217" s="105" t="n"/>
      <c r="R217" s="105" t="n"/>
      <c r="S217" s="105" t="n"/>
      <c r="T217" s="105" t="n"/>
      <c r="U217" s="108">
        <f>IF(OR(H217="",I217="",I217=0),"",H217/I217)</f>
        <v/>
      </c>
      <c r="V217" s="109">
        <f>IF(OR(B217="",C217="",L217=""),"",MAX(0,C217-B217))</f>
        <v/>
      </c>
      <c r="W217" s="110">
        <f>IF(OR(L217="",U217=""),"",IF(E217="Short",(I217-L217)*U217,(L217-I217)*U217))</f>
        <v/>
      </c>
      <c r="X217" s="110">
        <f>IF(W217="","",W217-IF(M217="",0,M217))</f>
        <v/>
      </c>
      <c r="Y217" s="111">
        <f>IF(OR(X217="",H217="",H217=0),"",X217/H217)</f>
        <v/>
      </c>
      <c r="Z217" s="112">
        <f>IF(OR(I217="",J217="",U217=""),"",ABS(I217-J217)*U217)</f>
        <v/>
      </c>
      <c r="AA217" s="113">
        <f>IF(OR(X217="",Z217="",Z217=0),"",X217/Z217)</f>
        <v/>
      </c>
      <c r="AB217" s="114">
        <f>IF(OR(I217="",J217="",K217="",I217=J217),"",ABS(K217-I217)/ABS(I217-J217))</f>
        <v/>
      </c>
      <c r="AC217" s="51">
        <f>IF(OR(B217="",D217="",H217="",I217=""),"",IF(L217="","Ouvert",IF(X217&gt;0,"Gagné",IF(X217&lt;0,"Perdu","Neutre"))))</f>
        <v/>
      </c>
      <c r="AD217" s="115">
        <f>IF(X217="","",IF(C217="",B217,C217))</f>
        <v/>
      </c>
      <c r="AE217" s="109">
        <f>IF(B217="","",WEEKDAY(B217,2))</f>
        <v/>
      </c>
      <c r="AF217" s="112">
        <f>IF(X217="","",'Paramètres'!$C$9+SUM($X$6:X217))</f>
        <v/>
      </c>
      <c r="AG217" s="112">
        <f>IF(AF217="","",MAX('Paramètres'!$C$9,MAX($AF$6:AF217)))</f>
        <v/>
      </c>
      <c r="AH217" s="116">
        <f>IF(AF217="","",AF217/AG217-1)</f>
        <v/>
      </c>
      <c r="AI217" s="109">
        <f>IF(X217="","",IF(X217&gt;0,IF(N(AI216)&gt;0,N(AI216)+1,1),IF(X217&lt;0,IF(N(AI216)&lt;0,N(AI216)-1,-1),0)))</f>
        <v/>
      </c>
      <c r="AJ217" s="116">
        <f>IF(Z217="","",IFERROR(Z217/('Paramètres'!$C$9+SUM($X$5:X216)),""))</f>
        <v/>
      </c>
      <c r="AK217" s="109">
        <f>IF(AC217="Ouvert",COUNTIF($AC$6:AC217,"Ouvert"),"")</f>
        <v/>
      </c>
    </row>
    <row r="218" ht="19" customHeight="1">
      <c r="A218" s="104">
        <f>IF(B218="","",ROW()-5)</f>
        <v/>
      </c>
      <c r="B218" s="61" t="n"/>
      <c r="C218" s="61" t="n"/>
      <c r="D218" s="105" t="n"/>
      <c r="E218" s="49" t="n"/>
      <c r="F218" s="105" t="n"/>
      <c r="G218" s="49" t="n"/>
      <c r="H218" s="106" t="n"/>
      <c r="I218" s="107" t="n"/>
      <c r="J218" s="107" t="n"/>
      <c r="K218" s="107" t="n"/>
      <c r="L218" s="107" t="n"/>
      <c r="M218" s="106" t="n"/>
      <c r="N218" s="62" t="n"/>
      <c r="O218" s="49" t="n"/>
      <c r="P218" s="49" t="n"/>
      <c r="Q218" s="105" t="n"/>
      <c r="R218" s="105" t="n"/>
      <c r="S218" s="105" t="n"/>
      <c r="T218" s="105" t="n"/>
      <c r="U218" s="108">
        <f>IF(OR(H218="",I218="",I218=0),"",H218/I218)</f>
        <v/>
      </c>
      <c r="V218" s="109">
        <f>IF(OR(B218="",C218="",L218=""),"",MAX(0,C218-B218))</f>
        <v/>
      </c>
      <c r="W218" s="110">
        <f>IF(OR(L218="",U218=""),"",IF(E218="Short",(I218-L218)*U218,(L218-I218)*U218))</f>
        <v/>
      </c>
      <c r="X218" s="110">
        <f>IF(W218="","",W218-IF(M218="",0,M218))</f>
        <v/>
      </c>
      <c r="Y218" s="111">
        <f>IF(OR(X218="",H218="",H218=0),"",X218/H218)</f>
        <v/>
      </c>
      <c r="Z218" s="112">
        <f>IF(OR(I218="",J218="",U218=""),"",ABS(I218-J218)*U218)</f>
        <v/>
      </c>
      <c r="AA218" s="113">
        <f>IF(OR(X218="",Z218="",Z218=0),"",X218/Z218)</f>
        <v/>
      </c>
      <c r="AB218" s="114">
        <f>IF(OR(I218="",J218="",K218="",I218=J218),"",ABS(K218-I218)/ABS(I218-J218))</f>
        <v/>
      </c>
      <c r="AC218" s="51">
        <f>IF(OR(B218="",D218="",H218="",I218=""),"",IF(L218="","Ouvert",IF(X218&gt;0,"Gagné",IF(X218&lt;0,"Perdu","Neutre"))))</f>
        <v/>
      </c>
      <c r="AD218" s="115">
        <f>IF(X218="","",IF(C218="",B218,C218))</f>
        <v/>
      </c>
      <c r="AE218" s="109">
        <f>IF(B218="","",WEEKDAY(B218,2))</f>
        <v/>
      </c>
      <c r="AF218" s="112">
        <f>IF(X218="","",'Paramètres'!$C$9+SUM($X$6:X218))</f>
        <v/>
      </c>
      <c r="AG218" s="112">
        <f>IF(AF218="","",MAX('Paramètres'!$C$9,MAX($AF$6:AF218)))</f>
        <v/>
      </c>
      <c r="AH218" s="116">
        <f>IF(AF218="","",AF218/AG218-1)</f>
        <v/>
      </c>
      <c r="AI218" s="109">
        <f>IF(X218="","",IF(X218&gt;0,IF(N(AI217)&gt;0,N(AI217)+1,1),IF(X218&lt;0,IF(N(AI217)&lt;0,N(AI217)-1,-1),0)))</f>
        <v/>
      </c>
      <c r="AJ218" s="116">
        <f>IF(Z218="","",IFERROR(Z218/('Paramètres'!$C$9+SUM($X$5:X217)),""))</f>
        <v/>
      </c>
      <c r="AK218" s="109">
        <f>IF(AC218="Ouvert",COUNTIF($AC$6:AC218,"Ouvert"),"")</f>
        <v/>
      </c>
    </row>
    <row r="219" ht="19" customHeight="1">
      <c r="A219" s="104">
        <f>IF(B219="","",ROW()-5)</f>
        <v/>
      </c>
      <c r="B219" s="61" t="n"/>
      <c r="C219" s="61" t="n"/>
      <c r="D219" s="105" t="n"/>
      <c r="E219" s="49" t="n"/>
      <c r="F219" s="105" t="n"/>
      <c r="G219" s="49" t="n"/>
      <c r="H219" s="106" t="n"/>
      <c r="I219" s="107" t="n"/>
      <c r="J219" s="107" t="n"/>
      <c r="K219" s="107" t="n"/>
      <c r="L219" s="107" t="n"/>
      <c r="M219" s="106" t="n"/>
      <c r="N219" s="62" t="n"/>
      <c r="O219" s="49" t="n"/>
      <c r="P219" s="49" t="n"/>
      <c r="Q219" s="105" t="n"/>
      <c r="R219" s="105" t="n"/>
      <c r="S219" s="105" t="n"/>
      <c r="T219" s="105" t="n"/>
      <c r="U219" s="108">
        <f>IF(OR(H219="",I219="",I219=0),"",H219/I219)</f>
        <v/>
      </c>
      <c r="V219" s="109">
        <f>IF(OR(B219="",C219="",L219=""),"",MAX(0,C219-B219))</f>
        <v/>
      </c>
      <c r="W219" s="110">
        <f>IF(OR(L219="",U219=""),"",IF(E219="Short",(I219-L219)*U219,(L219-I219)*U219))</f>
        <v/>
      </c>
      <c r="X219" s="110">
        <f>IF(W219="","",W219-IF(M219="",0,M219))</f>
        <v/>
      </c>
      <c r="Y219" s="111">
        <f>IF(OR(X219="",H219="",H219=0),"",X219/H219)</f>
        <v/>
      </c>
      <c r="Z219" s="112">
        <f>IF(OR(I219="",J219="",U219=""),"",ABS(I219-J219)*U219)</f>
        <v/>
      </c>
      <c r="AA219" s="113">
        <f>IF(OR(X219="",Z219="",Z219=0),"",X219/Z219)</f>
        <v/>
      </c>
      <c r="AB219" s="114">
        <f>IF(OR(I219="",J219="",K219="",I219=J219),"",ABS(K219-I219)/ABS(I219-J219))</f>
        <v/>
      </c>
      <c r="AC219" s="51">
        <f>IF(OR(B219="",D219="",H219="",I219=""),"",IF(L219="","Ouvert",IF(X219&gt;0,"Gagné",IF(X219&lt;0,"Perdu","Neutre"))))</f>
        <v/>
      </c>
      <c r="AD219" s="115">
        <f>IF(X219="","",IF(C219="",B219,C219))</f>
        <v/>
      </c>
      <c r="AE219" s="109">
        <f>IF(B219="","",WEEKDAY(B219,2))</f>
        <v/>
      </c>
      <c r="AF219" s="112">
        <f>IF(X219="","",'Paramètres'!$C$9+SUM($X$6:X219))</f>
        <v/>
      </c>
      <c r="AG219" s="112">
        <f>IF(AF219="","",MAX('Paramètres'!$C$9,MAX($AF$6:AF219)))</f>
        <v/>
      </c>
      <c r="AH219" s="116">
        <f>IF(AF219="","",AF219/AG219-1)</f>
        <v/>
      </c>
      <c r="AI219" s="109">
        <f>IF(X219="","",IF(X219&gt;0,IF(N(AI218)&gt;0,N(AI218)+1,1),IF(X219&lt;0,IF(N(AI218)&lt;0,N(AI218)-1,-1),0)))</f>
        <v/>
      </c>
      <c r="AJ219" s="116">
        <f>IF(Z219="","",IFERROR(Z219/('Paramètres'!$C$9+SUM($X$5:X218)),""))</f>
        <v/>
      </c>
      <c r="AK219" s="109">
        <f>IF(AC219="Ouvert",COUNTIF($AC$6:AC219,"Ouvert"),"")</f>
        <v/>
      </c>
    </row>
    <row r="220" ht="19" customHeight="1">
      <c r="A220" s="104">
        <f>IF(B220="","",ROW()-5)</f>
        <v/>
      </c>
      <c r="B220" s="61" t="n"/>
      <c r="C220" s="61" t="n"/>
      <c r="D220" s="105" t="n"/>
      <c r="E220" s="49" t="n"/>
      <c r="F220" s="105" t="n"/>
      <c r="G220" s="49" t="n"/>
      <c r="H220" s="106" t="n"/>
      <c r="I220" s="107" t="n"/>
      <c r="J220" s="107" t="n"/>
      <c r="K220" s="107" t="n"/>
      <c r="L220" s="107" t="n"/>
      <c r="M220" s="106" t="n"/>
      <c r="N220" s="62" t="n"/>
      <c r="O220" s="49" t="n"/>
      <c r="P220" s="49" t="n"/>
      <c r="Q220" s="105" t="n"/>
      <c r="R220" s="105" t="n"/>
      <c r="S220" s="105" t="n"/>
      <c r="T220" s="105" t="n"/>
      <c r="U220" s="108">
        <f>IF(OR(H220="",I220="",I220=0),"",H220/I220)</f>
        <v/>
      </c>
      <c r="V220" s="109">
        <f>IF(OR(B220="",C220="",L220=""),"",MAX(0,C220-B220))</f>
        <v/>
      </c>
      <c r="W220" s="110">
        <f>IF(OR(L220="",U220=""),"",IF(E220="Short",(I220-L220)*U220,(L220-I220)*U220))</f>
        <v/>
      </c>
      <c r="X220" s="110">
        <f>IF(W220="","",W220-IF(M220="",0,M220))</f>
        <v/>
      </c>
      <c r="Y220" s="111">
        <f>IF(OR(X220="",H220="",H220=0),"",X220/H220)</f>
        <v/>
      </c>
      <c r="Z220" s="112">
        <f>IF(OR(I220="",J220="",U220=""),"",ABS(I220-J220)*U220)</f>
        <v/>
      </c>
      <c r="AA220" s="113">
        <f>IF(OR(X220="",Z220="",Z220=0),"",X220/Z220)</f>
        <v/>
      </c>
      <c r="AB220" s="114">
        <f>IF(OR(I220="",J220="",K220="",I220=J220),"",ABS(K220-I220)/ABS(I220-J220))</f>
        <v/>
      </c>
      <c r="AC220" s="51">
        <f>IF(OR(B220="",D220="",H220="",I220=""),"",IF(L220="","Ouvert",IF(X220&gt;0,"Gagné",IF(X220&lt;0,"Perdu","Neutre"))))</f>
        <v/>
      </c>
      <c r="AD220" s="115">
        <f>IF(X220="","",IF(C220="",B220,C220))</f>
        <v/>
      </c>
      <c r="AE220" s="109">
        <f>IF(B220="","",WEEKDAY(B220,2))</f>
        <v/>
      </c>
      <c r="AF220" s="112">
        <f>IF(X220="","",'Paramètres'!$C$9+SUM($X$6:X220))</f>
        <v/>
      </c>
      <c r="AG220" s="112">
        <f>IF(AF220="","",MAX('Paramètres'!$C$9,MAX($AF$6:AF220)))</f>
        <v/>
      </c>
      <c r="AH220" s="116">
        <f>IF(AF220="","",AF220/AG220-1)</f>
        <v/>
      </c>
      <c r="AI220" s="109">
        <f>IF(X220="","",IF(X220&gt;0,IF(N(AI219)&gt;0,N(AI219)+1,1),IF(X220&lt;0,IF(N(AI219)&lt;0,N(AI219)-1,-1),0)))</f>
        <v/>
      </c>
      <c r="AJ220" s="116">
        <f>IF(Z220="","",IFERROR(Z220/('Paramètres'!$C$9+SUM($X$5:X219)),""))</f>
        <v/>
      </c>
      <c r="AK220" s="109">
        <f>IF(AC220="Ouvert",COUNTIF($AC$6:AC220,"Ouvert"),"")</f>
        <v/>
      </c>
    </row>
    <row r="221" ht="19" customHeight="1">
      <c r="A221" s="104">
        <f>IF(B221="","",ROW()-5)</f>
        <v/>
      </c>
      <c r="B221" s="61" t="n"/>
      <c r="C221" s="61" t="n"/>
      <c r="D221" s="105" t="n"/>
      <c r="E221" s="49" t="n"/>
      <c r="F221" s="105" t="n"/>
      <c r="G221" s="49" t="n"/>
      <c r="H221" s="106" t="n"/>
      <c r="I221" s="107" t="n"/>
      <c r="J221" s="107" t="n"/>
      <c r="K221" s="107" t="n"/>
      <c r="L221" s="107" t="n"/>
      <c r="M221" s="106" t="n"/>
      <c r="N221" s="62" t="n"/>
      <c r="O221" s="49" t="n"/>
      <c r="P221" s="49" t="n"/>
      <c r="Q221" s="105" t="n"/>
      <c r="R221" s="105" t="n"/>
      <c r="S221" s="105" t="n"/>
      <c r="T221" s="105" t="n"/>
      <c r="U221" s="108">
        <f>IF(OR(H221="",I221="",I221=0),"",H221/I221)</f>
        <v/>
      </c>
      <c r="V221" s="109">
        <f>IF(OR(B221="",C221="",L221=""),"",MAX(0,C221-B221))</f>
        <v/>
      </c>
      <c r="W221" s="110">
        <f>IF(OR(L221="",U221=""),"",IF(E221="Short",(I221-L221)*U221,(L221-I221)*U221))</f>
        <v/>
      </c>
      <c r="X221" s="110">
        <f>IF(W221="","",W221-IF(M221="",0,M221))</f>
        <v/>
      </c>
      <c r="Y221" s="111">
        <f>IF(OR(X221="",H221="",H221=0),"",X221/H221)</f>
        <v/>
      </c>
      <c r="Z221" s="112">
        <f>IF(OR(I221="",J221="",U221=""),"",ABS(I221-J221)*U221)</f>
        <v/>
      </c>
      <c r="AA221" s="113">
        <f>IF(OR(X221="",Z221="",Z221=0),"",X221/Z221)</f>
        <v/>
      </c>
      <c r="AB221" s="114">
        <f>IF(OR(I221="",J221="",K221="",I221=J221),"",ABS(K221-I221)/ABS(I221-J221))</f>
        <v/>
      </c>
      <c r="AC221" s="51">
        <f>IF(OR(B221="",D221="",H221="",I221=""),"",IF(L221="","Ouvert",IF(X221&gt;0,"Gagné",IF(X221&lt;0,"Perdu","Neutre"))))</f>
        <v/>
      </c>
      <c r="AD221" s="115">
        <f>IF(X221="","",IF(C221="",B221,C221))</f>
        <v/>
      </c>
      <c r="AE221" s="109">
        <f>IF(B221="","",WEEKDAY(B221,2))</f>
        <v/>
      </c>
      <c r="AF221" s="112">
        <f>IF(X221="","",'Paramètres'!$C$9+SUM($X$6:X221))</f>
        <v/>
      </c>
      <c r="AG221" s="112">
        <f>IF(AF221="","",MAX('Paramètres'!$C$9,MAX($AF$6:AF221)))</f>
        <v/>
      </c>
      <c r="AH221" s="116">
        <f>IF(AF221="","",AF221/AG221-1)</f>
        <v/>
      </c>
      <c r="AI221" s="109">
        <f>IF(X221="","",IF(X221&gt;0,IF(N(AI220)&gt;0,N(AI220)+1,1),IF(X221&lt;0,IF(N(AI220)&lt;0,N(AI220)-1,-1),0)))</f>
        <v/>
      </c>
      <c r="AJ221" s="116">
        <f>IF(Z221="","",IFERROR(Z221/('Paramètres'!$C$9+SUM($X$5:X220)),""))</f>
        <v/>
      </c>
      <c r="AK221" s="109">
        <f>IF(AC221="Ouvert",COUNTIF($AC$6:AC221,"Ouvert"),"")</f>
        <v/>
      </c>
    </row>
    <row r="222" ht="19" customHeight="1">
      <c r="A222" s="104">
        <f>IF(B222="","",ROW()-5)</f>
        <v/>
      </c>
      <c r="B222" s="61" t="n"/>
      <c r="C222" s="61" t="n"/>
      <c r="D222" s="105" t="n"/>
      <c r="E222" s="49" t="n"/>
      <c r="F222" s="105" t="n"/>
      <c r="G222" s="49" t="n"/>
      <c r="H222" s="106" t="n"/>
      <c r="I222" s="107" t="n"/>
      <c r="J222" s="107" t="n"/>
      <c r="K222" s="107" t="n"/>
      <c r="L222" s="107" t="n"/>
      <c r="M222" s="106" t="n"/>
      <c r="N222" s="62" t="n"/>
      <c r="O222" s="49" t="n"/>
      <c r="P222" s="49" t="n"/>
      <c r="Q222" s="105" t="n"/>
      <c r="R222" s="105" t="n"/>
      <c r="S222" s="105" t="n"/>
      <c r="T222" s="105" t="n"/>
      <c r="U222" s="108">
        <f>IF(OR(H222="",I222="",I222=0),"",H222/I222)</f>
        <v/>
      </c>
      <c r="V222" s="109">
        <f>IF(OR(B222="",C222="",L222=""),"",MAX(0,C222-B222))</f>
        <v/>
      </c>
      <c r="W222" s="110">
        <f>IF(OR(L222="",U222=""),"",IF(E222="Short",(I222-L222)*U222,(L222-I222)*U222))</f>
        <v/>
      </c>
      <c r="X222" s="110">
        <f>IF(W222="","",W222-IF(M222="",0,M222))</f>
        <v/>
      </c>
      <c r="Y222" s="111">
        <f>IF(OR(X222="",H222="",H222=0),"",X222/H222)</f>
        <v/>
      </c>
      <c r="Z222" s="112">
        <f>IF(OR(I222="",J222="",U222=""),"",ABS(I222-J222)*U222)</f>
        <v/>
      </c>
      <c r="AA222" s="113">
        <f>IF(OR(X222="",Z222="",Z222=0),"",X222/Z222)</f>
        <v/>
      </c>
      <c r="AB222" s="114">
        <f>IF(OR(I222="",J222="",K222="",I222=J222),"",ABS(K222-I222)/ABS(I222-J222))</f>
        <v/>
      </c>
      <c r="AC222" s="51">
        <f>IF(OR(B222="",D222="",H222="",I222=""),"",IF(L222="","Ouvert",IF(X222&gt;0,"Gagné",IF(X222&lt;0,"Perdu","Neutre"))))</f>
        <v/>
      </c>
      <c r="AD222" s="115">
        <f>IF(X222="","",IF(C222="",B222,C222))</f>
        <v/>
      </c>
      <c r="AE222" s="109">
        <f>IF(B222="","",WEEKDAY(B222,2))</f>
        <v/>
      </c>
      <c r="AF222" s="112">
        <f>IF(X222="","",'Paramètres'!$C$9+SUM($X$6:X222))</f>
        <v/>
      </c>
      <c r="AG222" s="112">
        <f>IF(AF222="","",MAX('Paramètres'!$C$9,MAX($AF$6:AF222)))</f>
        <v/>
      </c>
      <c r="AH222" s="116">
        <f>IF(AF222="","",AF222/AG222-1)</f>
        <v/>
      </c>
      <c r="AI222" s="109">
        <f>IF(X222="","",IF(X222&gt;0,IF(N(AI221)&gt;0,N(AI221)+1,1),IF(X222&lt;0,IF(N(AI221)&lt;0,N(AI221)-1,-1),0)))</f>
        <v/>
      </c>
      <c r="AJ222" s="116">
        <f>IF(Z222="","",IFERROR(Z222/('Paramètres'!$C$9+SUM($X$5:X221)),""))</f>
        <v/>
      </c>
      <c r="AK222" s="109">
        <f>IF(AC222="Ouvert",COUNTIF($AC$6:AC222,"Ouvert"),"")</f>
        <v/>
      </c>
    </row>
    <row r="223" ht="19" customHeight="1">
      <c r="A223" s="104">
        <f>IF(B223="","",ROW()-5)</f>
        <v/>
      </c>
      <c r="B223" s="61" t="n"/>
      <c r="C223" s="61" t="n"/>
      <c r="D223" s="105" t="n"/>
      <c r="E223" s="49" t="n"/>
      <c r="F223" s="105" t="n"/>
      <c r="G223" s="49" t="n"/>
      <c r="H223" s="106" t="n"/>
      <c r="I223" s="107" t="n"/>
      <c r="J223" s="107" t="n"/>
      <c r="K223" s="107" t="n"/>
      <c r="L223" s="107" t="n"/>
      <c r="M223" s="106" t="n"/>
      <c r="N223" s="62" t="n"/>
      <c r="O223" s="49" t="n"/>
      <c r="P223" s="49" t="n"/>
      <c r="Q223" s="105" t="n"/>
      <c r="R223" s="105" t="n"/>
      <c r="S223" s="105" t="n"/>
      <c r="T223" s="105" t="n"/>
      <c r="U223" s="108">
        <f>IF(OR(H223="",I223="",I223=0),"",H223/I223)</f>
        <v/>
      </c>
      <c r="V223" s="109">
        <f>IF(OR(B223="",C223="",L223=""),"",MAX(0,C223-B223))</f>
        <v/>
      </c>
      <c r="W223" s="110">
        <f>IF(OR(L223="",U223=""),"",IF(E223="Short",(I223-L223)*U223,(L223-I223)*U223))</f>
        <v/>
      </c>
      <c r="X223" s="110">
        <f>IF(W223="","",W223-IF(M223="",0,M223))</f>
        <v/>
      </c>
      <c r="Y223" s="111">
        <f>IF(OR(X223="",H223="",H223=0),"",X223/H223)</f>
        <v/>
      </c>
      <c r="Z223" s="112">
        <f>IF(OR(I223="",J223="",U223=""),"",ABS(I223-J223)*U223)</f>
        <v/>
      </c>
      <c r="AA223" s="113">
        <f>IF(OR(X223="",Z223="",Z223=0),"",X223/Z223)</f>
        <v/>
      </c>
      <c r="AB223" s="114">
        <f>IF(OR(I223="",J223="",K223="",I223=J223),"",ABS(K223-I223)/ABS(I223-J223))</f>
        <v/>
      </c>
      <c r="AC223" s="51">
        <f>IF(OR(B223="",D223="",H223="",I223=""),"",IF(L223="","Ouvert",IF(X223&gt;0,"Gagné",IF(X223&lt;0,"Perdu","Neutre"))))</f>
        <v/>
      </c>
      <c r="AD223" s="115">
        <f>IF(X223="","",IF(C223="",B223,C223))</f>
        <v/>
      </c>
      <c r="AE223" s="109">
        <f>IF(B223="","",WEEKDAY(B223,2))</f>
        <v/>
      </c>
      <c r="AF223" s="112">
        <f>IF(X223="","",'Paramètres'!$C$9+SUM($X$6:X223))</f>
        <v/>
      </c>
      <c r="AG223" s="112">
        <f>IF(AF223="","",MAX('Paramètres'!$C$9,MAX($AF$6:AF223)))</f>
        <v/>
      </c>
      <c r="AH223" s="116">
        <f>IF(AF223="","",AF223/AG223-1)</f>
        <v/>
      </c>
      <c r="AI223" s="109">
        <f>IF(X223="","",IF(X223&gt;0,IF(N(AI222)&gt;0,N(AI222)+1,1),IF(X223&lt;0,IF(N(AI222)&lt;0,N(AI222)-1,-1),0)))</f>
        <v/>
      </c>
      <c r="AJ223" s="116">
        <f>IF(Z223="","",IFERROR(Z223/('Paramètres'!$C$9+SUM($X$5:X222)),""))</f>
        <v/>
      </c>
      <c r="AK223" s="109">
        <f>IF(AC223="Ouvert",COUNTIF($AC$6:AC223,"Ouvert"),"")</f>
        <v/>
      </c>
    </row>
    <row r="224" ht="19" customHeight="1">
      <c r="A224" s="104">
        <f>IF(B224="","",ROW()-5)</f>
        <v/>
      </c>
      <c r="B224" s="61" t="n"/>
      <c r="C224" s="61" t="n"/>
      <c r="D224" s="105" t="n"/>
      <c r="E224" s="49" t="n"/>
      <c r="F224" s="105" t="n"/>
      <c r="G224" s="49" t="n"/>
      <c r="H224" s="106" t="n"/>
      <c r="I224" s="107" t="n"/>
      <c r="J224" s="107" t="n"/>
      <c r="K224" s="107" t="n"/>
      <c r="L224" s="107" t="n"/>
      <c r="M224" s="106" t="n"/>
      <c r="N224" s="62" t="n"/>
      <c r="O224" s="49" t="n"/>
      <c r="P224" s="49" t="n"/>
      <c r="Q224" s="105" t="n"/>
      <c r="R224" s="105" t="n"/>
      <c r="S224" s="105" t="n"/>
      <c r="T224" s="105" t="n"/>
      <c r="U224" s="108">
        <f>IF(OR(H224="",I224="",I224=0),"",H224/I224)</f>
        <v/>
      </c>
      <c r="V224" s="109">
        <f>IF(OR(B224="",C224="",L224=""),"",MAX(0,C224-B224))</f>
        <v/>
      </c>
      <c r="W224" s="110">
        <f>IF(OR(L224="",U224=""),"",IF(E224="Short",(I224-L224)*U224,(L224-I224)*U224))</f>
        <v/>
      </c>
      <c r="X224" s="110">
        <f>IF(W224="","",W224-IF(M224="",0,M224))</f>
        <v/>
      </c>
      <c r="Y224" s="111">
        <f>IF(OR(X224="",H224="",H224=0),"",X224/H224)</f>
        <v/>
      </c>
      <c r="Z224" s="112">
        <f>IF(OR(I224="",J224="",U224=""),"",ABS(I224-J224)*U224)</f>
        <v/>
      </c>
      <c r="AA224" s="113">
        <f>IF(OR(X224="",Z224="",Z224=0),"",X224/Z224)</f>
        <v/>
      </c>
      <c r="AB224" s="114">
        <f>IF(OR(I224="",J224="",K224="",I224=J224),"",ABS(K224-I224)/ABS(I224-J224))</f>
        <v/>
      </c>
      <c r="AC224" s="51">
        <f>IF(OR(B224="",D224="",H224="",I224=""),"",IF(L224="","Ouvert",IF(X224&gt;0,"Gagné",IF(X224&lt;0,"Perdu","Neutre"))))</f>
        <v/>
      </c>
      <c r="AD224" s="115">
        <f>IF(X224="","",IF(C224="",B224,C224))</f>
        <v/>
      </c>
      <c r="AE224" s="109">
        <f>IF(B224="","",WEEKDAY(B224,2))</f>
        <v/>
      </c>
      <c r="AF224" s="112">
        <f>IF(X224="","",'Paramètres'!$C$9+SUM($X$6:X224))</f>
        <v/>
      </c>
      <c r="AG224" s="112">
        <f>IF(AF224="","",MAX('Paramètres'!$C$9,MAX($AF$6:AF224)))</f>
        <v/>
      </c>
      <c r="AH224" s="116">
        <f>IF(AF224="","",AF224/AG224-1)</f>
        <v/>
      </c>
      <c r="AI224" s="109">
        <f>IF(X224="","",IF(X224&gt;0,IF(N(AI223)&gt;0,N(AI223)+1,1),IF(X224&lt;0,IF(N(AI223)&lt;0,N(AI223)-1,-1),0)))</f>
        <v/>
      </c>
      <c r="AJ224" s="116">
        <f>IF(Z224="","",IFERROR(Z224/('Paramètres'!$C$9+SUM($X$5:X223)),""))</f>
        <v/>
      </c>
      <c r="AK224" s="109">
        <f>IF(AC224="Ouvert",COUNTIF($AC$6:AC224,"Ouvert"),"")</f>
        <v/>
      </c>
    </row>
    <row r="225" ht="19" customHeight="1">
      <c r="A225" s="104">
        <f>IF(B225="","",ROW()-5)</f>
        <v/>
      </c>
      <c r="B225" s="61" t="n"/>
      <c r="C225" s="61" t="n"/>
      <c r="D225" s="105" t="n"/>
      <c r="E225" s="49" t="n"/>
      <c r="F225" s="105" t="n"/>
      <c r="G225" s="49" t="n"/>
      <c r="H225" s="106" t="n"/>
      <c r="I225" s="107" t="n"/>
      <c r="J225" s="107" t="n"/>
      <c r="K225" s="107" t="n"/>
      <c r="L225" s="107" t="n"/>
      <c r="M225" s="106" t="n"/>
      <c r="N225" s="62" t="n"/>
      <c r="O225" s="49" t="n"/>
      <c r="P225" s="49" t="n"/>
      <c r="Q225" s="105" t="n"/>
      <c r="R225" s="105" t="n"/>
      <c r="S225" s="105" t="n"/>
      <c r="T225" s="105" t="n"/>
      <c r="U225" s="108">
        <f>IF(OR(H225="",I225="",I225=0),"",H225/I225)</f>
        <v/>
      </c>
      <c r="V225" s="109">
        <f>IF(OR(B225="",C225="",L225=""),"",MAX(0,C225-B225))</f>
        <v/>
      </c>
      <c r="W225" s="110">
        <f>IF(OR(L225="",U225=""),"",IF(E225="Short",(I225-L225)*U225,(L225-I225)*U225))</f>
        <v/>
      </c>
      <c r="X225" s="110">
        <f>IF(W225="","",W225-IF(M225="",0,M225))</f>
        <v/>
      </c>
      <c r="Y225" s="111">
        <f>IF(OR(X225="",H225="",H225=0),"",X225/H225)</f>
        <v/>
      </c>
      <c r="Z225" s="112">
        <f>IF(OR(I225="",J225="",U225=""),"",ABS(I225-J225)*U225)</f>
        <v/>
      </c>
      <c r="AA225" s="113">
        <f>IF(OR(X225="",Z225="",Z225=0),"",X225/Z225)</f>
        <v/>
      </c>
      <c r="AB225" s="114">
        <f>IF(OR(I225="",J225="",K225="",I225=J225),"",ABS(K225-I225)/ABS(I225-J225))</f>
        <v/>
      </c>
      <c r="AC225" s="51">
        <f>IF(OR(B225="",D225="",H225="",I225=""),"",IF(L225="","Ouvert",IF(X225&gt;0,"Gagné",IF(X225&lt;0,"Perdu","Neutre"))))</f>
        <v/>
      </c>
      <c r="AD225" s="115">
        <f>IF(X225="","",IF(C225="",B225,C225))</f>
        <v/>
      </c>
      <c r="AE225" s="109">
        <f>IF(B225="","",WEEKDAY(B225,2))</f>
        <v/>
      </c>
      <c r="AF225" s="112">
        <f>IF(X225="","",'Paramètres'!$C$9+SUM($X$6:X225))</f>
        <v/>
      </c>
      <c r="AG225" s="112">
        <f>IF(AF225="","",MAX('Paramètres'!$C$9,MAX($AF$6:AF225)))</f>
        <v/>
      </c>
      <c r="AH225" s="116">
        <f>IF(AF225="","",AF225/AG225-1)</f>
        <v/>
      </c>
      <c r="AI225" s="109">
        <f>IF(X225="","",IF(X225&gt;0,IF(N(AI224)&gt;0,N(AI224)+1,1),IF(X225&lt;0,IF(N(AI224)&lt;0,N(AI224)-1,-1),0)))</f>
        <v/>
      </c>
      <c r="AJ225" s="116">
        <f>IF(Z225="","",IFERROR(Z225/('Paramètres'!$C$9+SUM($X$5:X224)),""))</f>
        <v/>
      </c>
      <c r="AK225" s="109">
        <f>IF(AC225="Ouvert",COUNTIF($AC$6:AC225,"Ouvert"),"")</f>
        <v/>
      </c>
    </row>
    <row r="226" ht="19" customHeight="1">
      <c r="A226" s="104">
        <f>IF(B226="","",ROW()-5)</f>
        <v/>
      </c>
      <c r="B226" s="61" t="n"/>
      <c r="C226" s="61" t="n"/>
      <c r="D226" s="105" t="n"/>
      <c r="E226" s="49" t="n"/>
      <c r="F226" s="105" t="n"/>
      <c r="G226" s="49" t="n"/>
      <c r="H226" s="106" t="n"/>
      <c r="I226" s="107" t="n"/>
      <c r="J226" s="107" t="n"/>
      <c r="K226" s="107" t="n"/>
      <c r="L226" s="107" t="n"/>
      <c r="M226" s="106" t="n"/>
      <c r="N226" s="62" t="n"/>
      <c r="O226" s="49" t="n"/>
      <c r="P226" s="49" t="n"/>
      <c r="Q226" s="105" t="n"/>
      <c r="R226" s="105" t="n"/>
      <c r="S226" s="105" t="n"/>
      <c r="T226" s="105" t="n"/>
      <c r="U226" s="108">
        <f>IF(OR(H226="",I226="",I226=0),"",H226/I226)</f>
        <v/>
      </c>
      <c r="V226" s="109">
        <f>IF(OR(B226="",C226="",L226=""),"",MAX(0,C226-B226))</f>
        <v/>
      </c>
      <c r="W226" s="110">
        <f>IF(OR(L226="",U226=""),"",IF(E226="Short",(I226-L226)*U226,(L226-I226)*U226))</f>
        <v/>
      </c>
      <c r="X226" s="110">
        <f>IF(W226="","",W226-IF(M226="",0,M226))</f>
        <v/>
      </c>
      <c r="Y226" s="111">
        <f>IF(OR(X226="",H226="",H226=0),"",X226/H226)</f>
        <v/>
      </c>
      <c r="Z226" s="112">
        <f>IF(OR(I226="",J226="",U226=""),"",ABS(I226-J226)*U226)</f>
        <v/>
      </c>
      <c r="AA226" s="113">
        <f>IF(OR(X226="",Z226="",Z226=0),"",X226/Z226)</f>
        <v/>
      </c>
      <c r="AB226" s="114">
        <f>IF(OR(I226="",J226="",K226="",I226=J226),"",ABS(K226-I226)/ABS(I226-J226))</f>
        <v/>
      </c>
      <c r="AC226" s="51">
        <f>IF(OR(B226="",D226="",H226="",I226=""),"",IF(L226="","Ouvert",IF(X226&gt;0,"Gagné",IF(X226&lt;0,"Perdu","Neutre"))))</f>
        <v/>
      </c>
      <c r="AD226" s="115">
        <f>IF(X226="","",IF(C226="",B226,C226))</f>
        <v/>
      </c>
      <c r="AE226" s="109">
        <f>IF(B226="","",WEEKDAY(B226,2))</f>
        <v/>
      </c>
      <c r="AF226" s="112">
        <f>IF(X226="","",'Paramètres'!$C$9+SUM($X$6:X226))</f>
        <v/>
      </c>
      <c r="AG226" s="112">
        <f>IF(AF226="","",MAX('Paramètres'!$C$9,MAX($AF$6:AF226)))</f>
        <v/>
      </c>
      <c r="AH226" s="116">
        <f>IF(AF226="","",AF226/AG226-1)</f>
        <v/>
      </c>
      <c r="AI226" s="109">
        <f>IF(X226="","",IF(X226&gt;0,IF(N(AI225)&gt;0,N(AI225)+1,1),IF(X226&lt;0,IF(N(AI225)&lt;0,N(AI225)-1,-1),0)))</f>
        <v/>
      </c>
      <c r="AJ226" s="116">
        <f>IF(Z226="","",IFERROR(Z226/('Paramètres'!$C$9+SUM($X$5:X225)),""))</f>
        <v/>
      </c>
      <c r="AK226" s="109">
        <f>IF(AC226="Ouvert",COUNTIF($AC$6:AC226,"Ouvert"),"")</f>
        <v/>
      </c>
    </row>
    <row r="227" ht="19" customHeight="1">
      <c r="A227" s="104">
        <f>IF(B227="","",ROW()-5)</f>
        <v/>
      </c>
      <c r="B227" s="61" t="n"/>
      <c r="C227" s="61" t="n"/>
      <c r="D227" s="105" t="n"/>
      <c r="E227" s="49" t="n"/>
      <c r="F227" s="105" t="n"/>
      <c r="G227" s="49" t="n"/>
      <c r="H227" s="106" t="n"/>
      <c r="I227" s="107" t="n"/>
      <c r="J227" s="107" t="n"/>
      <c r="K227" s="107" t="n"/>
      <c r="L227" s="107" t="n"/>
      <c r="M227" s="106" t="n"/>
      <c r="N227" s="62" t="n"/>
      <c r="O227" s="49" t="n"/>
      <c r="P227" s="49" t="n"/>
      <c r="Q227" s="105" t="n"/>
      <c r="R227" s="105" t="n"/>
      <c r="S227" s="105" t="n"/>
      <c r="T227" s="105" t="n"/>
      <c r="U227" s="108">
        <f>IF(OR(H227="",I227="",I227=0),"",H227/I227)</f>
        <v/>
      </c>
      <c r="V227" s="109">
        <f>IF(OR(B227="",C227="",L227=""),"",MAX(0,C227-B227))</f>
        <v/>
      </c>
      <c r="W227" s="110">
        <f>IF(OR(L227="",U227=""),"",IF(E227="Short",(I227-L227)*U227,(L227-I227)*U227))</f>
        <v/>
      </c>
      <c r="X227" s="110">
        <f>IF(W227="","",W227-IF(M227="",0,M227))</f>
        <v/>
      </c>
      <c r="Y227" s="111">
        <f>IF(OR(X227="",H227="",H227=0),"",X227/H227)</f>
        <v/>
      </c>
      <c r="Z227" s="112">
        <f>IF(OR(I227="",J227="",U227=""),"",ABS(I227-J227)*U227)</f>
        <v/>
      </c>
      <c r="AA227" s="113">
        <f>IF(OR(X227="",Z227="",Z227=0),"",X227/Z227)</f>
        <v/>
      </c>
      <c r="AB227" s="114">
        <f>IF(OR(I227="",J227="",K227="",I227=J227),"",ABS(K227-I227)/ABS(I227-J227))</f>
        <v/>
      </c>
      <c r="AC227" s="51">
        <f>IF(OR(B227="",D227="",H227="",I227=""),"",IF(L227="","Ouvert",IF(X227&gt;0,"Gagné",IF(X227&lt;0,"Perdu","Neutre"))))</f>
        <v/>
      </c>
      <c r="AD227" s="115">
        <f>IF(X227="","",IF(C227="",B227,C227))</f>
        <v/>
      </c>
      <c r="AE227" s="109">
        <f>IF(B227="","",WEEKDAY(B227,2))</f>
        <v/>
      </c>
      <c r="AF227" s="112">
        <f>IF(X227="","",'Paramètres'!$C$9+SUM($X$6:X227))</f>
        <v/>
      </c>
      <c r="AG227" s="112">
        <f>IF(AF227="","",MAX('Paramètres'!$C$9,MAX($AF$6:AF227)))</f>
        <v/>
      </c>
      <c r="AH227" s="116">
        <f>IF(AF227="","",AF227/AG227-1)</f>
        <v/>
      </c>
      <c r="AI227" s="109">
        <f>IF(X227="","",IF(X227&gt;0,IF(N(AI226)&gt;0,N(AI226)+1,1),IF(X227&lt;0,IF(N(AI226)&lt;0,N(AI226)-1,-1),0)))</f>
        <v/>
      </c>
      <c r="AJ227" s="116">
        <f>IF(Z227="","",IFERROR(Z227/('Paramètres'!$C$9+SUM($X$5:X226)),""))</f>
        <v/>
      </c>
      <c r="AK227" s="109">
        <f>IF(AC227="Ouvert",COUNTIF($AC$6:AC227,"Ouvert"),"")</f>
        <v/>
      </c>
    </row>
    <row r="228" ht="19" customHeight="1">
      <c r="A228" s="104">
        <f>IF(B228="","",ROW()-5)</f>
        <v/>
      </c>
      <c r="B228" s="61" t="n"/>
      <c r="C228" s="61" t="n"/>
      <c r="D228" s="105" t="n"/>
      <c r="E228" s="49" t="n"/>
      <c r="F228" s="105" t="n"/>
      <c r="G228" s="49" t="n"/>
      <c r="H228" s="106" t="n"/>
      <c r="I228" s="107" t="n"/>
      <c r="J228" s="107" t="n"/>
      <c r="K228" s="107" t="n"/>
      <c r="L228" s="107" t="n"/>
      <c r="M228" s="106" t="n"/>
      <c r="N228" s="62" t="n"/>
      <c r="O228" s="49" t="n"/>
      <c r="P228" s="49" t="n"/>
      <c r="Q228" s="105" t="n"/>
      <c r="R228" s="105" t="n"/>
      <c r="S228" s="105" t="n"/>
      <c r="T228" s="105" t="n"/>
      <c r="U228" s="108">
        <f>IF(OR(H228="",I228="",I228=0),"",H228/I228)</f>
        <v/>
      </c>
      <c r="V228" s="109">
        <f>IF(OR(B228="",C228="",L228=""),"",MAX(0,C228-B228))</f>
        <v/>
      </c>
      <c r="W228" s="110">
        <f>IF(OR(L228="",U228=""),"",IF(E228="Short",(I228-L228)*U228,(L228-I228)*U228))</f>
        <v/>
      </c>
      <c r="X228" s="110">
        <f>IF(W228="","",W228-IF(M228="",0,M228))</f>
        <v/>
      </c>
      <c r="Y228" s="111">
        <f>IF(OR(X228="",H228="",H228=0),"",X228/H228)</f>
        <v/>
      </c>
      <c r="Z228" s="112">
        <f>IF(OR(I228="",J228="",U228=""),"",ABS(I228-J228)*U228)</f>
        <v/>
      </c>
      <c r="AA228" s="113">
        <f>IF(OR(X228="",Z228="",Z228=0),"",X228/Z228)</f>
        <v/>
      </c>
      <c r="AB228" s="114">
        <f>IF(OR(I228="",J228="",K228="",I228=J228),"",ABS(K228-I228)/ABS(I228-J228))</f>
        <v/>
      </c>
      <c r="AC228" s="51">
        <f>IF(OR(B228="",D228="",H228="",I228=""),"",IF(L228="","Ouvert",IF(X228&gt;0,"Gagné",IF(X228&lt;0,"Perdu","Neutre"))))</f>
        <v/>
      </c>
      <c r="AD228" s="115">
        <f>IF(X228="","",IF(C228="",B228,C228))</f>
        <v/>
      </c>
      <c r="AE228" s="109">
        <f>IF(B228="","",WEEKDAY(B228,2))</f>
        <v/>
      </c>
      <c r="AF228" s="112">
        <f>IF(X228="","",'Paramètres'!$C$9+SUM($X$6:X228))</f>
        <v/>
      </c>
      <c r="AG228" s="112">
        <f>IF(AF228="","",MAX('Paramètres'!$C$9,MAX($AF$6:AF228)))</f>
        <v/>
      </c>
      <c r="AH228" s="116">
        <f>IF(AF228="","",AF228/AG228-1)</f>
        <v/>
      </c>
      <c r="AI228" s="109">
        <f>IF(X228="","",IF(X228&gt;0,IF(N(AI227)&gt;0,N(AI227)+1,1),IF(X228&lt;0,IF(N(AI227)&lt;0,N(AI227)-1,-1),0)))</f>
        <v/>
      </c>
      <c r="AJ228" s="116">
        <f>IF(Z228="","",IFERROR(Z228/('Paramètres'!$C$9+SUM($X$5:X227)),""))</f>
        <v/>
      </c>
      <c r="AK228" s="109">
        <f>IF(AC228="Ouvert",COUNTIF($AC$6:AC228,"Ouvert"),"")</f>
        <v/>
      </c>
    </row>
    <row r="229" ht="19" customHeight="1">
      <c r="A229" s="104">
        <f>IF(B229="","",ROW()-5)</f>
        <v/>
      </c>
      <c r="B229" s="61" t="n"/>
      <c r="C229" s="61" t="n"/>
      <c r="D229" s="105" t="n"/>
      <c r="E229" s="49" t="n"/>
      <c r="F229" s="105" t="n"/>
      <c r="G229" s="49" t="n"/>
      <c r="H229" s="106" t="n"/>
      <c r="I229" s="107" t="n"/>
      <c r="J229" s="107" t="n"/>
      <c r="K229" s="107" t="n"/>
      <c r="L229" s="107" t="n"/>
      <c r="M229" s="106" t="n"/>
      <c r="N229" s="62" t="n"/>
      <c r="O229" s="49" t="n"/>
      <c r="P229" s="49" t="n"/>
      <c r="Q229" s="105" t="n"/>
      <c r="R229" s="105" t="n"/>
      <c r="S229" s="105" t="n"/>
      <c r="T229" s="105" t="n"/>
      <c r="U229" s="108">
        <f>IF(OR(H229="",I229="",I229=0),"",H229/I229)</f>
        <v/>
      </c>
      <c r="V229" s="109">
        <f>IF(OR(B229="",C229="",L229=""),"",MAX(0,C229-B229))</f>
        <v/>
      </c>
      <c r="W229" s="110">
        <f>IF(OR(L229="",U229=""),"",IF(E229="Short",(I229-L229)*U229,(L229-I229)*U229))</f>
        <v/>
      </c>
      <c r="X229" s="110">
        <f>IF(W229="","",W229-IF(M229="",0,M229))</f>
        <v/>
      </c>
      <c r="Y229" s="111">
        <f>IF(OR(X229="",H229="",H229=0),"",X229/H229)</f>
        <v/>
      </c>
      <c r="Z229" s="112">
        <f>IF(OR(I229="",J229="",U229=""),"",ABS(I229-J229)*U229)</f>
        <v/>
      </c>
      <c r="AA229" s="113">
        <f>IF(OR(X229="",Z229="",Z229=0),"",X229/Z229)</f>
        <v/>
      </c>
      <c r="AB229" s="114">
        <f>IF(OR(I229="",J229="",K229="",I229=J229),"",ABS(K229-I229)/ABS(I229-J229))</f>
        <v/>
      </c>
      <c r="AC229" s="51">
        <f>IF(OR(B229="",D229="",H229="",I229=""),"",IF(L229="","Ouvert",IF(X229&gt;0,"Gagné",IF(X229&lt;0,"Perdu","Neutre"))))</f>
        <v/>
      </c>
      <c r="AD229" s="115">
        <f>IF(X229="","",IF(C229="",B229,C229))</f>
        <v/>
      </c>
      <c r="AE229" s="109">
        <f>IF(B229="","",WEEKDAY(B229,2))</f>
        <v/>
      </c>
      <c r="AF229" s="112">
        <f>IF(X229="","",'Paramètres'!$C$9+SUM($X$6:X229))</f>
        <v/>
      </c>
      <c r="AG229" s="112">
        <f>IF(AF229="","",MAX('Paramètres'!$C$9,MAX($AF$6:AF229)))</f>
        <v/>
      </c>
      <c r="AH229" s="116">
        <f>IF(AF229="","",AF229/AG229-1)</f>
        <v/>
      </c>
      <c r="AI229" s="109">
        <f>IF(X229="","",IF(X229&gt;0,IF(N(AI228)&gt;0,N(AI228)+1,1),IF(X229&lt;0,IF(N(AI228)&lt;0,N(AI228)-1,-1),0)))</f>
        <v/>
      </c>
      <c r="AJ229" s="116">
        <f>IF(Z229="","",IFERROR(Z229/('Paramètres'!$C$9+SUM($X$5:X228)),""))</f>
        <v/>
      </c>
      <c r="AK229" s="109">
        <f>IF(AC229="Ouvert",COUNTIF($AC$6:AC229,"Ouvert"),"")</f>
        <v/>
      </c>
    </row>
    <row r="230" ht="19" customHeight="1">
      <c r="A230" s="104">
        <f>IF(B230="","",ROW()-5)</f>
        <v/>
      </c>
      <c r="B230" s="61" t="n"/>
      <c r="C230" s="61" t="n"/>
      <c r="D230" s="105" t="n"/>
      <c r="E230" s="49" t="n"/>
      <c r="F230" s="105" t="n"/>
      <c r="G230" s="49" t="n"/>
      <c r="H230" s="106" t="n"/>
      <c r="I230" s="107" t="n"/>
      <c r="J230" s="107" t="n"/>
      <c r="K230" s="107" t="n"/>
      <c r="L230" s="107" t="n"/>
      <c r="M230" s="106" t="n"/>
      <c r="N230" s="62" t="n"/>
      <c r="O230" s="49" t="n"/>
      <c r="P230" s="49" t="n"/>
      <c r="Q230" s="105" t="n"/>
      <c r="R230" s="105" t="n"/>
      <c r="S230" s="105" t="n"/>
      <c r="T230" s="105" t="n"/>
      <c r="U230" s="108">
        <f>IF(OR(H230="",I230="",I230=0),"",H230/I230)</f>
        <v/>
      </c>
      <c r="V230" s="109">
        <f>IF(OR(B230="",C230="",L230=""),"",MAX(0,C230-B230))</f>
        <v/>
      </c>
      <c r="W230" s="110">
        <f>IF(OR(L230="",U230=""),"",IF(E230="Short",(I230-L230)*U230,(L230-I230)*U230))</f>
        <v/>
      </c>
      <c r="X230" s="110">
        <f>IF(W230="","",W230-IF(M230="",0,M230))</f>
        <v/>
      </c>
      <c r="Y230" s="111">
        <f>IF(OR(X230="",H230="",H230=0),"",X230/H230)</f>
        <v/>
      </c>
      <c r="Z230" s="112">
        <f>IF(OR(I230="",J230="",U230=""),"",ABS(I230-J230)*U230)</f>
        <v/>
      </c>
      <c r="AA230" s="113">
        <f>IF(OR(X230="",Z230="",Z230=0),"",X230/Z230)</f>
        <v/>
      </c>
      <c r="AB230" s="114">
        <f>IF(OR(I230="",J230="",K230="",I230=J230),"",ABS(K230-I230)/ABS(I230-J230))</f>
        <v/>
      </c>
      <c r="AC230" s="51">
        <f>IF(OR(B230="",D230="",H230="",I230=""),"",IF(L230="","Ouvert",IF(X230&gt;0,"Gagné",IF(X230&lt;0,"Perdu","Neutre"))))</f>
        <v/>
      </c>
      <c r="AD230" s="115">
        <f>IF(X230="","",IF(C230="",B230,C230))</f>
        <v/>
      </c>
      <c r="AE230" s="109">
        <f>IF(B230="","",WEEKDAY(B230,2))</f>
        <v/>
      </c>
      <c r="AF230" s="112">
        <f>IF(X230="","",'Paramètres'!$C$9+SUM($X$6:X230))</f>
        <v/>
      </c>
      <c r="AG230" s="112">
        <f>IF(AF230="","",MAX('Paramètres'!$C$9,MAX($AF$6:AF230)))</f>
        <v/>
      </c>
      <c r="AH230" s="116">
        <f>IF(AF230="","",AF230/AG230-1)</f>
        <v/>
      </c>
      <c r="AI230" s="109">
        <f>IF(X230="","",IF(X230&gt;0,IF(N(AI229)&gt;0,N(AI229)+1,1),IF(X230&lt;0,IF(N(AI229)&lt;0,N(AI229)-1,-1),0)))</f>
        <v/>
      </c>
      <c r="AJ230" s="116">
        <f>IF(Z230="","",IFERROR(Z230/('Paramètres'!$C$9+SUM($X$5:X229)),""))</f>
        <v/>
      </c>
      <c r="AK230" s="109">
        <f>IF(AC230="Ouvert",COUNTIF($AC$6:AC230,"Ouvert"),"")</f>
        <v/>
      </c>
    </row>
    <row r="231" ht="19" customHeight="1">
      <c r="A231" s="104">
        <f>IF(B231="","",ROW()-5)</f>
        <v/>
      </c>
      <c r="B231" s="61" t="n"/>
      <c r="C231" s="61" t="n"/>
      <c r="D231" s="105" t="n"/>
      <c r="E231" s="49" t="n"/>
      <c r="F231" s="105" t="n"/>
      <c r="G231" s="49" t="n"/>
      <c r="H231" s="106" t="n"/>
      <c r="I231" s="107" t="n"/>
      <c r="J231" s="107" t="n"/>
      <c r="K231" s="107" t="n"/>
      <c r="L231" s="107" t="n"/>
      <c r="M231" s="106" t="n"/>
      <c r="N231" s="62" t="n"/>
      <c r="O231" s="49" t="n"/>
      <c r="P231" s="49" t="n"/>
      <c r="Q231" s="105" t="n"/>
      <c r="R231" s="105" t="n"/>
      <c r="S231" s="105" t="n"/>
      <c r="T231" s="105" t="n"/>
      <c r="U231" s="108">
        <f>IF(OR(H231="",I231="",I231=0),"",H231/I231)</f>
        <v/>
      </c>
      <c r="V231" s="109">
        <f>IF(OR(B231="",C231="",L231=""),"",MAX(0,C231-B231))</f>
        <v/>
      </c>
      <c r="W231" s="110">
        <f>IF(OR(L231="",U231=""),"",IF(E231="Short",(I231-L231)*U231,(L231-I231)*U231))</f>
        <v/>
      </c>
      <c r="X231" s="110">
        <f>IF(W231="","",W231-IF(M231="",0,M231))</f>
        <v/>
      </c>
      <c r="Y231" s="111">
        <f>IF(OR(X231="",H231="",H231=0),"",X231/H231)</f>
        <v/>
      </c>
      <c r="Z231" s="112">
        <f>IF(OR(I231="",J231="",U231=""),"",ABS(I231-J231)*U231)</f>
        <v/>
      </c>
      <c r="AA231" s="113">
        <f>IF(OR(X231="",Z231="",Z231=0),"",X231/Z231)</f>
        <v/>
      </c>
      <c r="AB231" s="114">
        <f>IF(OR(I231="",J231="",K231="",I231=J231),"",ABS(K231-I231)/ABS(I231-J231))</f>
        <v/>
      </c>
      <c r="AC231" s="51">
        <f>IF(OR(B231="",D231="",H231="",I231=""),"",IF(L231="","Ouvert",IF(X231&gt;0,"Gagné",IF(X231&lt;0,"Perdu","Neutre"))))</f>
        <v/>
      </c>
      <c r="AD231" s="115">
        <f>IF(X231="","",IF(C231="",B231,C231))</f>
        <v/>
      </c>
      <c r="AE231" s="109">
        <f>IF(B231="","",WEEKDAY(B231,2))</f>
        <v/>
      </c>
      <c r="AF231" s="112">
        <f>IF(X231="","",'Paramètres'!$C$9+SUM($X$6:X231))</f>
        <v/>
      </c>
      <c r="AG231" s="112">
        <f>IF(AF231="","",MAX('Paramètres'!$C$9,MAX($AF$6:AF231)))</f>
        <v/>
      </c>
      <c r="AH231" s="116">
        <f>IF(AF231="","",AF231/AG231-1)</f>
        <v/>
      </c>
      <c r="AI231" s="109">
        <f>IF(X231="","",IF(X231&gt;0,IF(N(AI230)&gt;0,N(AI230)+1,1),IF(X231&lt;0,IF(N(AI230)&lt;0,N(AI230)-1,-1),0)))</f>
        <v/>
      </c>
      <c r="AJ231" s="116">
        <f>IF(Z231="","",IFERROR(Z231/('Paramètres'!$C$9+SUM($X$5:X230)),""))</f>
        <v/>
      </c>
      <c r="AK231" s="109">
        <f>IF(AC231="Ouvert",COUNTIF($AC$6:AC231,"Ouvert"),"")</f>
        <v/>
      </c>
    </row>
    <row r="232" ht="19" customHeight="1">
      <c r="A232" s="104">
        <f>IF(B232="","",ROW()-5)</f>
        <v/>
      </c>
      <c r="B232" s="61" t="n"/>
      <c r="C232" s="61" t="n"/>
      <c r="D232" s="105" t="n"/>
      <c r="E232" s="49" t="n"/>
      <c r="F232" s="105" t="n"/>
      <c r="G232" s="49" t="n"/>
      <c r="H232" s="106" t="n"/>
      <c r="I232" s="107" t="n"/>
      <c r="J232" s="107" t="n"/>
      <c r="K232" s="107" t="n"/>
      <c r="L232" s="107" t="n"/>
      <c r="M232" s="106" t="n"/>
      <c r="N232" s="62" t="n"/>
      <c r="O232" s="49" t="n"/>
      <c r="P232" s="49" t="n"/>
      <c r="Q232" s="105" t="n"/>
      <c r="R232" s="105" t="n"/>
      <c r="S232" s="105" t="n"/>
      <c r="T232" s="105" t="n"/>
      <c r="U232" s="108">
        <f>IF(OR(H232="",I232="",I232=0),"",H232/I232)</f>
        <v/>
      </c>
      <c r="V232" s="109">
        <f>IF(OR(B232="",C232="",L232=""),"",MAX(0,C232-B232))</f>
        <v/>
      </c>
      <c r="W232" s="110">
        <f>IF(OR(L232="",U232=""),"",IF(E232="Short",(I232-L232)*U232,(L232-I232)*U232))</f>
        <v/>
      </c>
      <c r="X232" s="110">
        <f>IF(W232="","",W232-IF(M232="",0,M232))</f>
        <v/>
      </c>
      <c r="Y232" s="111">
        <f>IF(OR(X232="",H232="",H232=0),"",X232/H232)</f>
        <v/>
      </c>
      <c r="Z232" s="112">
        <f>IF(OR(I232="",J232="",U232=""),"",ABS(I232-J232)*U232)</f>
        <v/>
      </c>
      <c r="AA232" s="113">
        <f>IF(OR(X232="",Z232="",Z232=0),"",X232/Z232)</f>
        <v/>
      </c>
      <c r="AB232" s="114">
        <f>IF(OR(I232="",J232="",K232="",I232=J232),"",ABS(K232-I232)/ABS(I232-J232))</f>
        <v/>
      </c>
      <c r="AC232" s="51">
        <f>IF(OR(B232="",D232="",H232="",I232=""),"",IF(L232="","Ouvert",IF(X232&gt;0,"Gagné",IF(X232&lt;0,"Perdu","Neutre"))))</f>
        <v/>
      </c>
      <c r="AD232" s="115">
        <f>IF(X232="","",IF(C232="",B232,C232))</f>
        <v/>
      </c>
      <c r="AE232" s="109">
        <f>IF(B232="","",WEEKDAY(B232,2))</f>
        <v/>
      </c>
      <c r="AF232" s="112">
        <f>IF(X232="","",'Paramètres'!$C$9+SUM($X$6:X232))</f>
        <v/>
      </c>
      <c r="AG232" s="112">
        <f>IF(AF232="","",MAX('Paramètres'!$C$9,MAX($AF$6:AF232)))</f>
        <v/>
      </c>
      <c r="AH232" s="116">
        <f>IF(AF232="","",AF232/AG232-1)</f>
        <v/>
      </c>
      <c r="AI232" s="109">
        <f>IF(X232="","",IF(X232&gt;0,IF(N(AI231)&gt;0,N(AI231)+1,1),IF(X232&lt;0,IF(N(AI231)&lt;0,N(AI231)-1,-1),0)))</f>
        <v/>
      </c>
      <c r="AJ232" s="116">
        <f>IF(Z232="","",IFERROR(Z232/('Paramètres'!$C$9+SUM($X$5:X231)),""))</f>
        <v/>
      </c>
      <c r="AK232" s="109">
        <f>IF(AC232="Ouvert",COUNTIF($AC$6:AC232,"Ouvert"),"")</f>
        <v/>
      </c>
    </row>
    <row r="233" ht="19" customHeight="1">
      <c r="A233" s="104">
        <f>IF(B233="","",ROW()-5)</f>
        <v/>
      </c>
      <c r="B233" s="61" t="n"/>
      <c r="C233" s="61" t="n"/>
      <c r="D233" s="105" t="n"/>
      <c r="E233" s="49" t="n"/>
      <c r="F233" s="105" t="n"/>
      <c r="G233" s="49" t="n"/>
      <c r="H233" s="106" t="n"/>
      <c r="I233" s="107" t="n"/>
      <c r="J233" s="107" t="n"/>
      <c r="K233" s="107" t="n"/>
      <c r="L233" s="107" t="n"/>
      <c r="M233" s="106" t="n"/>
      <c r="N233" s="62" t="n"/>
      <c r="O233" s="49" t="n"/>
      <c r="P233" s="49" t="n"/>
      <c r="Q233" s="105" t="n"/>
      <c r="R233" s="105" t="n"/>
      <c r="S233" s="105" t="n"/>
      <c r="T233" s="105" t="n"/>
      <c r="U233" s="108">
        <f>IF(OR(H233="",I233="",I233=0),"",H233/I233)</f>
        <v/>
      </c>
      <c r="V233" s="109">
        <f>IF(OR(B233="",C233="",L233=""),"",MAX(0,C233-B233))</f>
        <v/>
      </c>
      <c r="W233" s="110">
        <f>IF(OR(L233="",U233=""),"",IF(E233="Short",(I233-L233)*U233,(L233-I233)*U233))</f>
        <v/>
      </c>
      <c r="X233" s="110">
        <f>IF(W233="","",W233-IF(M233="",0,M233))</f>
        <v/>
      </c>
      <c r="Y233" s="111">
        <f>IF(OR(X233="",H233="",H233=0),"",X233/H233)</f>
        <v/>
      </c>
      <c r="Z233" s="112">
        <f>IF(OR(I233="",J233="",U233=""),"",ABS(I233-J233)*U233)</f>
        <v/>
      </c>
      <c r="AA233" s="113">
        <f>IF(OR(X233="",Z233="",Z233=0),"",X233/Z233)</f>
        <v/>
      </c>
      <c r="AB233" s="114">
        <f>IF(OR(I233="",J233="",K233="",I233=J233),"",ABS(K233-I233)/ABS(I233-J233))</f>
        <v/>
      </c>
      <c r="AC233" s="51">
        <f>IF(OR(B233="",D233="",H233="",I233=""),"",IF(L233="","Ouvert",IF(X233&gt;0,"Gagné",IF(X233&lt;0,"Perdu","Neutre"))))</f>
        <v/>
      </c>
      <c r="AD233" s="115">
        <f>IF(X233="","",IF(C233="",B233,C233))</f>
        <v/>
      </c>
      <c r="AE233" s="109">
        <f>IF(B233="","",WEEKDAY(B233,2))</f>
        <v/>
      </c>
      <c r="AF233" s="112">
        <f>IF(X233="","",'Paramètres'!$C$9+SUM($X$6:X233))</f>
        <v/>
      </c>
      <c r="AG233" s="112">
        <f>IF(AF233="","",MAX('Paramètres'!$C$9,MAX($AF$6:AF233)))</f>
        <v/>
      </c>
      <c r="AH233" s="116">
        <f>IF(AF233="","",AF233/AG233-1)</f>
        <v/>
      </c>
      <c r="AI233" s="109">
        <f>IF(X233="","",IF(X233&gt;0,IF(N(AI232)&gt;0,N(AI232)+1,1),IF(X233&lt;0,IF(N(AI232)&lt;0,N(AI232)-1,-1),0)))</f>
        <v/>
      </c>
      <c r="AJ233" s="116">
        <f>IF(Z233="","",IFERROR(Z233/('Paramètres'!$C$9+SUM($X$5:X232)),""))</f>
        <v/>
      </c>
      <c r="AK233" s="109">
        <f>IF(AC233="Ouvert",COUNTIF($AC$6:AC233,"Ouvert"),"")</f>
        <v/>
      </c>
    </row>
    <row r="234" ht="19" customHeight="1">
      <c r="A234" s="104">
        <f>IF(B234="","",ROW()-5)</f>
        <v/>
      </c>
      <c r="B234" s="61" t="n"/>
      <c r="C234" s="61" t="n"/>
      <c r="D234" s="105" t="n"/>
      <c r="E234" s="49" t="n"/>
      <c r="F234" s="105" t="n"/>
      <c r="G234" s="49" t="n"/>
      <c r="H234" s="106" t="n"/>
      <c r="I234" s="107" t="n"/>
      <c r="J234" s="107" t="n"/>
      <c r="K234" s="107" t="n"/>
      <c r="L234" s="107" t="n"/>
      <c r="M234" s="106" t="n"/>
      <c r="N234" s="62" t="n"/>
      <c r="O234" s="49" t="n"/>
      <c r="P234" s="49" t="n"/>
      <c r="Q234" s="105" t="n"/>
      <c r="R234" s="105" t="n"/>
      <c r="S234" s="105" t="n"/>
      <c r="T234" s="105" t="n"/>
      <c r="U234" s="108">
        <f>IF(OR(H234="",I234="",I234=0),"",H234/I234)</f>
        <v/>
      </c>
      <c r="V234" s="109">
        <f>IF(OR(B234="",C234="",L234=""),"",MAX(0,C234-B234))</f>
        <v/>
      </c>
      <c r="W234" s="110">
        <f>IF(OR(L234="",U234=""),"",IF(E234="Short",(I234-L234)*U234,(L234-I234)*U234))</f>
        <v/>
      </c>
      <c r="X234" s="110">
        <f>IF(W234="","",W234-IF(M234="",0,M234))</f>
        <v/>
      </c>
      <c r="Y234" s="111">
        <f>IF(OR(X234="",H234="",H234=0),"",X234/H234)</f>
        <v/>
      </c>
      <c r="Z234" s="112">
        <f>IF(OR(I234="",J234="",U234=""),"",ABS(I234-J234)*U234)</f>
        <v/>
      </c>
      <c r="AA234" s="113">
        <f>IF(OR(X234="",Z234="",Z234=0),"",X234/Z234)</f>
        <v/>
      </c>
      <c r="AB234" s="114">
        <f>IF(OR(I234="",J234="",K234="",I234=J234),"",ABS(K234-I234)/ABS(I234-J234))</f>
        <v/>
      </c>
      <c r="AC234" s="51">
        <f>IF(OR(B234="",D234="",H234="",I234=""),"",IF(L234="","Ouvert",IF(X234&gt;0,"Gagné",IF(X234&lt;0,"Perdu","Neutre"))))</f>
        <v/>
      </c>
      <c r="AD234" s="115">
        <f>IF(X234="","",IF(C234="",B234,C234))</f>
        <v/>
      </c>
      <c r="AE234" s="109">
        <f>IF(B234="","",WEEKDAY(B234,2))</f>
        <v/>
      </c>
      <c r="AF234" s="112">
        <f>IF(X234="","",'Paramètres'!$C$9+SUM($X$6:X234))</f>
        <v/>
      </c>
      <c r="AG234" s="112">
        <f>IF(AF234="","",MAX('Paramètres'!$C$9,MAX($AF$6:AF234)))</f>
        <v/>
      </c>
      <c r="AH234" s="116">
        <f>IF(AF234="","",AF234/AG234-1)</f>
        <v/>
      </c>
      <c r="AI234" s="109">
        <f>IF(X234="","",IF(X234&gt;0,IF(N(AI233)&gt;0,N(AI233)+1,1),IF(X234&lt;0,IF(N(AI233)&lt;0,N(AI233)-1,-1),0)))</f>
        <v/>
      </c>
      <c r="AJ234" s="116">
        <f>IF(Z234="","",IFERROR(Z234/('Paramètres'!$C$9+SUM($X$5:X233)),""))</f>
        <v/>
      </c>
      <c r="AK234" s="109">
        <f>IF(AC234="Ouvert",COUNTIF($AC$6:AC234,"Ouvert"),"")</f>
        <v/>
      </c>
    </row>
    <row r="235" ht="19" customHeight="1">
      <c r="A235" s="104">
        <f>IF(B235="","",ROW()-5)</f>
        <v/>
      </c>
      <c r="B235" s="61" t="n"/>
      <c r="C235" s="61" t="n"/>
      <c r="D235" s="105" t="n"/>
      <c r="E235" s="49" t="n"/>
      <c r="F235" s="105" t="n"/>
      <c r="G235" s="49" t="n"/>
      <c r="H235" s="106" t="n"/>
      <c r="I235" s="107" t="n"/>
      <c r="J235" s="107" t="n"/>
      <c r="K235" s="107" t="n"/>
      <c r="L235" s="107" t="n"/>
      <c r="M235" s="106" t="n"/>
      <c r="N235" s="62" t="n"/>
      <c r="O235" s="49" t="n"/>
      <c r="P235" s="49" t="n"/>
      <c r="Q235" s="105" t="n"/>
      <c r="R235" s="105" t="n"/>
      <c r="S235" s="105" t="n"/>
      <c r="T235" s="105" t="n"/>
      <c r="U235" s="108">
        <f>IF(OR(H235="",I235="",I235=0),"",H235/I235)</f>
        <v/>
      </c>
      <c r="V235" s="109">
        <f>IF(OR(B235="",C235="",L235=""),"",MAX(0,C235-B235))</f>
        <v/>
      </c>
      <c r="W235" s="110">
        <f>IF(OR(L235="",U235=""),"",IF(E235="Short",(I235-L235)*U235,(L235-I235)*U235))</f>
        <v/>
      </c>
      <c r="X235" s="110">
        <f>IF(W235="","",W235-IF(M235="",0,M235))</f>
        <v/>
      </c>
      <c r="Y235" s="111">
        <f>IF(OR(X235="",H235="",H235=0),"",X235/H235)</f>
        <v/>
      </c>
      <c r="Z235" s="112">
        <f>IF(OR(I235="",J235="",U235=""),"",ABS(I235-J235)*U235)</f>
        <v/>
      </c>
      <c r="AA235" s="113">
        <f>IF(OR(X235="",Z235="",Z235=0),"",X235/Z235)</f>
        <v/>
      </c>
      <c r="AB235" s="114">
        <f>IF(OR(I235="",J235="",K235="",I235=J235),"",ABS(K235-I235)/ABS(I235-J235))</f>
        <v/>
      </c>
      <c r="AC235" s="51">
        <f>IF(OR(B235="",D235="",H235="",I235=""),"",IF(L235="","Ouvert",IF(X235&gt;0,"Gagné",IF(X235&lt;0,"Perdu","Neutre"))))</f>
        <v/>
      </c>
      <c r="AD235" s="115">
        <f>IF(X235="","",IF(C235="",B235,C235))</f>
        <v/>
      </c>
      <c r="AE235" s="109">
        <f>IF(B235="","",WEEKDAY(B235,2))</f>
        <v/>
      </c>
      <c r="AF235" s="112">
        <f>IF(X235="","",'Paramètres'!$C$9+SUM($X$6:X235))</f>
        <v/>
      </c>
      <c r="AG235" s="112">
        <f>IF(AF235="","",MAX('Paramètres'!$C$9,MAX($AF$6:AF235)))</f>
        <v/>
      </c>
      <c r="AH235" s="116">
        <f>IF(AF235="","",AF235/AG235-1)</f>
        <v/>
      </c>
      <c r="AI235" s="109">
        <f>IF(X235="","",IF(X235&gt;0,IF(N(AI234)&gt;0,N(AI234)+1,1),IF(X235&lt;0,IF(N(AI234)&lt;0,N(AI234)-1,-1),0)))</f>
        <v/>
      </c>
      <c r="AJ235" s="116">
        <f>IF(Z235="","",IFERROR(Z235/('Paramètres'!$C$9+SUM($X$5:X234)),""))</f>
        <v/>
      </c>
      <c r="AK235" s="109">
        <f>IF(AC235="Ouvert",COUNTIF($AC$6:AC235,"Ouvert"),"")</f>
        <v/>
      </c>
    </row>
    <row r="236" ht="19" customHeight="1">
      <c r="A236" s="104">
        <f>IF(B236="","",ROW()-5)</f>
        <v/>
      </c>
      <c r="B236" s="61" t="n"/>
      <c r="C236" s="61" t="n"/>
      <c r="D236" s="105" t="n"/>
      <c r="E236" s="49" t="n"/>
      <c r="F236" s="105" t="n"/>
      <c r="G236" s="49" t="n"/>
      <c r="H236" s="106" t="n"/>
      <c r="I236" s="107" t="n"/>
      <c r="J236" s="107" t="n"/>
      <c r="K236" s="107" t="n"/>
      <c r="L236" s="107" t="n"/>
      <c r="M236" s="106" t="n"/>
      <c r="N236" s="62" t="n"/>
      <c r="O236" s="49" t="n"/>
      <c r="P236" s="49" t="n"/>
      <c r="Q236" s="105" t="n"/>
      <c r="R236" s="105" t="n"/>
      <c r="S236" s="105" t="n"/>
      <c r="T236" s="105" t="n"/>
      <c r="U236" s="108">
        <f>IF(OR(H236="",I236="",I236=0),"",H236/I236)</f>
        <v/>
      </c>
      <c r="V236" s="109">
        <f>IF(OR(B236="",C236="",L236=""),"",MAX(0,C236-B236))</f>
        <v/>
      </c>
      <c r="W236" s="110">
        <f>IF(OR(L236="",U236=""),"",IF(E236="Short",(I236-L236)*U236,(L236-I236)*U236))</f>
        <v/>
      </c>
      <c r="X236" s="110">
        <f>IF(W236="","",W236-IF(M236="",0,M236))</f>
        <v/>
      </c>
      <c r="Y236" s="111">
        <f>IF(OR(X236="",H236="",H236=0),"",X236/H236)</f>
        <v/>
      </c>
      <c r="Z236" s="112">
        <f>IF(OR(I236="",J236="",U236=""),"",ABS(I236-J236)*U236)</f>
        <v/>
      </c>
      <c r="AA236" s="113">
        <f>IF(OR(X236="",Z236="",Z236=0),"",X236/Z236)</f>
        <v/>
      </c>
      <c r="AB236" s="114">
        <f>IF(OR(I236="",J236="",K236="",I236=J236),"",ABS(K236-I236)/ABS(I236-J236))</f>
        <v/>
      </c>
      <c r="AC236" s="51">
        <f>IF(OR(B236="",D236="",H236="",I236=""),"",IF(L236="","Ouvert",IF(X236&gt;0,"Gagné",IF(X236&lt;0,"Perdu","Neutre"))))</f>
        <v/>
      </c>
      <c r="AD236" s="115">
        <f>IF(X236="","",IF(C236="",B236,C236))</f>
        <v/>
      </c>
      <c r="AE236" s="109">
        <f>IF(B236="","",WEEKDAY(B236,2))</f>
        <v/>
      </c>
      <c r="AF236" s="112">
        <f>IF(X236="","",'Paramètres'!$C$9+SUM($X$6:X236))</f>
        <v/>
      </c>
      <c r="AG236" s="112">
        <f>IF(AF236="","",MAX('Paramètres'!$C$9,MAX($AF$6:AF236)))</f>
        <v/>
      </c>
      <c r="AH236" s="116">
        <f>IF(AF236="","",AF236/AG236-1)</f>
        <v/>
      </c>
      <c r="AI236" s="109">
        <f>IF(X236="","",IF(X236&gt;0,IF(N(AI235)&gt;0,N(AI235)+1,1),IF(X236&lt;0,IF(N(AI235)&lt;0,N(AI235)-1,-1),0)))</f>
        <v/>
      </c>
      <c r="AJ236" s="116">
        <f>IF(Z236="","",IFERROR(Z236/('Paramètres'!$C$9+SUM($X$5:X235)),""))</f>
        <v/>
      </c>
      <c r="AK236" s="109">
        <f>IF(AC236="Ouvert",COUNTIF($AC$6:AC236,"Ouvert"),"")</f>
        <v/>
      </c>
    </row>
    <row r="237" ht="19" customHeight="1">
      <c r="A237" s="104">
        <f>IF(B237="","",ROW()-5)</f>
        <v/>
      </c>
      <c r="B237" s="61" t="n"/>
      <c r="C237" s="61" t="n"/>
      <c r="D237" s="105" t="n"/>
      <c r="E237" s="49" t="n"/>
      <c r="F237" s="105" t="n"/>
      <c r="G237" s="49" t="n"/>
      <c r="H237" s="106" t="n"/>
      <c r="I237" s="107" t="n"/>
      <c r="J237" s="107" t="n"/>
      <c r="K237" s="107" t="n"/>
      <c r="L237" s="107" t="n"/>
      <c r="M237" s="106" t="n"/>
      <c r="N237" s="62" t="n"/>
      <c r="O237" s="49" t="n"/>
      <c r="P237" s="49" t="n"/>
      <c r="Q237" s="105" t="n"/>
      <c r="R237" s="105" t="n"/>
      <c r="S237" s="105" t="n"/>
      <c r="T237" s="105" t="n"/>
      <c r="U237" s="108">
        <f>IF(OR(H237="",I237="",I237=0),"",H237/I237)</f>
        <v/>
      </c>
      <c r="V237" s="109">
        <f>IF(OR(B237="",C237="",L237=""),"",MAX(0,C237-B237))</f>
        <v/>
      </c>
      <c r="W237" s="110">
        <f>IF(OR(L237="",U237=""),"",IF(E237="Short",(I237-L237)*U237,(L237-I237)*U237))</f>
        <v/>
      </c>
      <c r="X237" s="110">
        <f>IF(W237="","",W237-IF(M237="",0,M237))</f>
        <v/>
      </c>
      <c r="Y237" s="111">
        <f>IF(OR(X237="",H237="",H237=0),"",X237/H237)</f>
        <v/>
      </c>
      <c r="Z237" s="112">
        <f>IF(OR(I237="",J237="",U237=""),"",ABS(I237-J237)*U237)</f>
        <v/>
      </c>
      <c r="AA237" s="113">
        <f>IF(OR(X237="",Z237="",Z237=0),"",X237/Z237)</f>
        <v/>
      </c>
      <c r="AB237" s="114">
        <f>IF(OR(I237="",J237="",K237="",I237=J237),"",ABS(K237-I237)/ABS(I237-J237))</f>
        <v/>
      </c>
      <c r="AC237" s="51">
        <f>IF(OR(B237="",D237="",H237="",I237=""),"",IF(L237="","Ouvert",IF(X237&gt;0,"Gagné",IF(X237&lt;0,"Perdu","Neutre"))))</f>
        <v/>
      </c>
      <c r="AD237" s="115">
        <f>IF(X237="","",IF(C237="",B237,C237))</f>
        <v/>
      </c>
      <c r="AE237" s="109">
        <f>IF(B237="","",WEEKDAY(B237,2))</f>
        <v/>
      </c>
      <c r="AF237" s="112">
        <f>IF(X237="","",'Paramètres'!$C$9+SUM($X$6:X237))</f>
        <v/>
      </c>
      <c r="AG237" s="112">
        <f>IF(AF237="","",MAX('Paramètres'!$C$9,MAX($AF$6:AF237)))</f>
        <v/>
      </c>
      <c r="AH237" s="116">
        <f>IF(AF237="","",AF237/AG237-1)</f>
        <v/>
      </c>
      <c r="AI237" s="109">
        <f>IF(X237="","",IF(X237&gt;0,IF(N(AI236)&gt;0,N(AI236)+1,1),IF(X237&lt;0,IF(N(AI236)&lt;0,N(AI236)-1,-1),0)))</f>
        <v/>
      </c>
      <c r="AJ237" s="116">
        <f>IF(Z237="","",IFERROR(Z237/('Paramètres'!$C$9+SUM($X$5:X236)),""))</f>
        <v/>
      </c>
      <c r="AK237" s="109">
        <f>IF(AC237="Ouvert",COUNTIF($AC$6:AC237,"Ouvert"),"")</f>
        <v/>
      </c>
    </row>
    <row r="238" ht="19" customHeight="1">
      <c r="A238" s="104">
        <f>IF(B238="","",ROW()-5)</f>
        <v/>
      </c>
      <c r="B238" s="61" t="n"/>
      <c r="C238" s="61" t="n"/>
      <c r="D238" s="105" t="n"/>
      <c r="E238" s="49" t="n"/>
      <c r="F238" s="105" t="n"/>
      <c r="G238" s="49" t="n"/>
      <c r="H238" s="106" t="n"/>
      <c r="I238" s="107" t="n"/>
      <c r="J238" s="107" t="n"/>
      <c r="K238" s="107" t="n"/>
      <c r="L238" s="107" t="n"/>
      <c r="M238" s="106" t="n"/>
      <c r="N238" s="62" t="n"/>
      <c r="O238" s="49" t="n"/>
      <c r="P238" s="49" t="n"/>
      <c r="Q238" s="105" t="n"/>
      <c r="R238" s="105" t="n"/>
      <c r="S238" s="105" t="n"/>
      <c r="T238" s="105" t="n"/>
      <c r="U238" s="108">
        <f>IF(OR(H238="",I238="",I238=0),"",H238/I238)</f>
        <v/>
      </c>
      <c r="V238" s="109">
        <f>IF(OR(B238="",C238="",L238=""),"",MAX(0,C238-B238))</f>
        <v/>
      </c>
      <c r="W238" s="110">
        <f>IF(OR(L238="",U238=""),"",IF(E238="Short",(I238-L238)*U238,(L238-I238)*U238))</f>
        <v/>
      </c>
      <c r="X238" s="110">
        <f>IF(W238="","",W238-IF(M238="",0,M238))</f>
        <v/>
      </c>
      <c r="Y238" s="111">
        <f>IF(OR(X238="",H238="",H238=0),"",X238/H238)</f>
        <v/>
      </c>
      <c r="Z238" s="112">
        <f>IF(OR(I238="",J238="",U238=""),"",ABS(I238-J238)*U238)</f>
        <v/>
      </c>
      <c r="AA238" s="113">
        <f>IF(OR(X238="",Z238="",Z238=0),"",X238/Z238)</f>
        <v/>
      </c>
      <c r="AB238" s="114">
        <f>IF(OR(I238="",J238="",K238="",I238=J238),"",ABS(K238-I238)/ABS(I238-J238))</f>
        <v/>
      </c>
      <c r="AC238" s="51">
        <f>IF(OR(B238="",D238="",H238="",I238=""),"",IF(L238="","Ouvert",IF(X238&gt;0,"Gagné",IF(X238&lt;0,"Perdu","Neutre"))))</f>
        <v/>
      </c>
      <c r="AD238" s="115">
        <f>IF(X238="","",IF(C238="",B238,C238))</f>
        <v/>
      </c>
      <c r="AE238" s="109">
        <f>IF(B238="","",WEEKDAY(B238,2))</f>
        <v/>
      </c>
      <c r="AF238" s="112">
        <f>IF(X238="","",'Paramètres'!$C$9+SUM($X$6:X238))</f>
        <v/>
      </c>
      <c r="AG238" s="112">
        <f>IF(AF238="","",MAX('Paramètres'!$C$9,MAX($AF$6:AF238)))</f>
        <v/>
      </c>
      <c r="AH238" s="116">
        <f>IF(AF238="","",AF238/AG238-1)</f>
        <v/>
      </c>
      <c r="AI238" s="109">
        <f>IF(X238="","",IF(X238&gt;0,IF(N(AI237)&gt;0,N(AI237)+1,1),IF(X238&lt;0,IF(N(AI237)&lt;0,N(AI237)-1,-1),0)))</f>
        <v/>
      </c>
      <c r="AJ238" s="116">
        <f>IF(Z238="","",IFERROR(Z238/('Paramètres'!$C$9+SUM($X$5:X237)),""))</f>
        <v/>
      </c>
      <c r="AK238" s="109">
        <f>IF(AC238="Ouvert",COUNTIF($AC$6:AC238,"Ouvert"),"")</f>
        <v/>
      </c>
    </row>
    <row r="239" ht="19" customHeight="1">
      <c r="A239" s="104">
        <f>IF(B239="","",ROW()-5)</f>
        <v/>
      </c>
      <c r="B239" s="61" t="n"/>
      <c r="C239" s="61" t="n"/>
      <c r="D239" s="105" t="n"/>
      <c r="E239" s="49" t="n"/>
      <c r="F239" s="105" t="n"/>
      <c r="G239" s="49" t="n"/>
      <c r="H239" s="106" t="n"/>
      <c r="I239" s="107" t="n"/>
      <c r="J239" s="107" t="n"/>
      <c r="K239" s="107" t="n"/>
      <c r="L239" s="107" t="n"/>
      <c r="M239" s="106" t="n"/>
      <c r="N239" s="62" t="n"/>
      <c r="O239" s="49" t="n"/>
      <c r="P239" s="49" t="n"/>
      <c r="Q239" s="105" t="n"/>
      <c r="R239" s="105" t="n"/>
      <c r="S239" s="105" t="n"/>
      <c r="T239" s="105" t="n"/>
      <c r="U239" s="108">
        <f>IF(OR(H239="",I239="",I239=0),"",H239/I239)</f>
        <v/>
      </c>
      <c r="V239" s="109">
        <f>IF(OR(B239="",C239="",L239=""),"",MAX(0,C239-B239))</f>
        <v/>
      </c>
      <c r="W239" s="110">
        <f>IF(OR(L239="",U239=""),"",IF(E239="Short",(I239-L239)*U239,(L239-I239)*U239))</f>
        <v/>
      </c>
      <c r="X239" s="110">
        <f>IF(W239="","",W239-IF(M239="",0,M239))</f>
        <v/>
      </c>
      <c r="Y239" s="111">
        <f>IF(OR(X239="",H239="",H239=0),"",X239/H239)</f>
        <v/>
      </c>
      <c r="Z239" s="112">
        <f>IF(OR(I239="",J239="",U239=""),"",ABS(I239-J239)*U239)</f>
        <v/>
      </c>
      <c r="AA239" s="113">
        <f>IF(OR(X239="",Z239="",Z239=0),"",X239/Z239)</f>
        <v/>
      </c>
      <c r="AB239" s="114">
        <f>IF(OR(I239="",J239="",K239="",I239=J239),"",ABS(K239-I239)/ABS(I239-J239))</f>
        <v/>
      </c>
      <c r="AC239" s="51">
        <f>IF(OR(B239="",D239="",H239="",I239=""),"",IF(L239="","Ouvert",IF(X239&gt;0,"Gagné",IF(X239&lt;0,"Perdu","Neutre"))))</f>
        <v/>
      </c>
      <c r="AD239" s="115">
        <f>IF(X239="","",IF(C239="",B239,C239))</f>
        <v/>
      </c>
      <c r="AE239" s="109">
        <f>IF(B239="","",WEEKDAY(B239,2))</f>
        <v/>
      </c>
      <c r="AF239" s="112">
        <f>IF(X239="","",'Paramètres'!$C$9+SUM($X$6:X239))</f>
        <v/>
      </c>
      <c r="AG239" s="112">
        <f>IF(AF239="","",MAX('Paramètres'!$C$9,MAX($AF$6:AF239)))</f>
        <v/>
      </c>
      <c r="AH239" s="116">
        <f>IF(AF239="","",AF239/AG239-1)</f>
        <v/>
      </c>
      <c r="AI239" s="109">
        <f>IF(X239="","",IF(X239&gt;0,IF(N(AI238)&gt;0,N(AI238)+1,1),IF(X239&lt;0,IF(N(AI238)&lt;0,N(AI238)-1,-1),0)))</f>
        <v/>
      </c>
      <c r="AJ239" s="116">
        <f>IF(Z239="","",IFERROR(Z239/('Paramètres'!$C$9+SUM($X$5:X238)),""))</f>
        <v/>
      </c>
      <c r="AK239" s="109">
        <f>IF(AC239="Ouvert",COUNTIF($AC$6:AC239,"Ouvert"),"")</f>
        <v/>
      </c>
    </row>
    <row r="240" ht="19" customHeight="1">
      <c r="A240" s="104">
        <f>IF(B240="","",ROW()-5)</f>
        <v/>
      </c>
      <c r="B240" s="61" t="n"/>
      <c r="C240" s="61" t="n"/>
      <c r="D240" s="105" t="n"/>
      <c r="E240" s="49" t="n"/>
      <c r="F240" s="105" t="n"/>
      <c r="G240" s="49" t="n"/>
      <c r="H240" s="106" t="n"/>
      <c r="I240" s="107" t="n"/>
      <c r="J240" s="107" t="n"/>
      <c r="K240" s="107" t="n"/>
      <c r="L240" s="107" t="n"/>
      <c r="M240" s="106" t="n"/>
      <c r="N240" s="62" t="n"/>
      <c r="O240" s="49" t="n"/>
      <c r="P240" s="49" t="n"/>
      <c r="Q240" s="105" t="n"/>
      <c r="R240" s="105" t="n"/>
      <c r="S240" s="105" t="n"/>
      <c r="T240" s="105" t="n"/>
      <c r="U240" s="108">
        <f>IF(OR(H240="",I240="",I240=0),"",H240/I240)</f>
        <v/>
      </c>
      <c r="V240" s="109">
        <f>IF(OR(B240="",C240="",L240=""),"",MAX(0,C240-B240))</f>
        <v/>
      </c>
      <c r="W240" s="110">
        <f>IF(OR(L240="",U240=""),"",IF(E240="Short",(I240-L240)*U240,(L240-I240)*U240))</f>
        <v/>
      </c>
      <c r="X240" s="110">
        <f>IF(W240="","",W240-IF(M240="",0,M240))</f>
        <v/>
      </c>
      <c r="Y240" s="111">
        <f>IF(OR(X240="",H240="",H240=0),"",X240/H240)</f>
        <v/>
      </c>
      <c r="Z240" s="112">
        <f>IF(OR(I240="",J240="",U240=""),"",ABS(I240-J240)*U240)</f>
        <v/>
      </c>
      <c r="AA240" s="113">
        <f>IF(OR(X240="",Z240="",Z240=0),"",X240/Z240)</f>
        <v/>
      </c>
      <c r="AB240" s="114">
        <f>IF(OR(I240="",J240="",K240="",I240=J240),"",ABS(K240-I240)/ABS(I240-J240))</f>
        <v/>
      </c>
      <c r="AC240" s="51">
        <f>IF(OR(B240="",D240="",H240="",I240=""),"",IF(L240="","Ouvert",IF(X240&gt;0,"Gagné",IF(X240&lt;0,"Perdu","Neutre"))))</f>
        <v/>
      </c>
      <c r="AD240" s="115">
        <f>IF(X240="","",IF(C240="",B240,C240))</f>
        <v/>
      </c>
      <c r="AE240" s="109">
        <f>IF(B240="","",WEEKDAY(B240,2))</f>
        <v/>
      </c>
      <c r="AF240" s="112">
        <f>IF(X240="","",'Paramètres'!$C$9+SUM($X$6:X240))</f>
        <v/>
      </c>
      <c r="AG240" s="112">
        <f>IF(AF240="","",MAX('Paramètres'!$C$9,MAX($AF$6:AF240)))</f>
        <v/>
      </c>
      <c r="AH240" s="116">
        <f>IF(AF240="","",AF240/AG240-1)</f>
        <v/>
      </c>
      <c r="AI240" s="109">
        <f>IF(X240="","",IF(X240&gt;0,IF(N(AI239)&gt;0,N(AI239)+1,1),IF(X240&lt;0,IF(N(AI239)&lt;0,N(AI239)-1,-1),0)))</f>
        <v/>
      </c>
      <c r="AJ240" s="116">
        <f>IF(Z240="","",IFERROR(Z240/('Paramètres'!$C$9+SUM($X$5:X239)),""))</f>
        <v/>
      </c>
      <c r="AK240" s="109">
        <f>IF(AC240="Ouvert",COUNTIF($AC$6:AC240,"Ouvert"),"")</f>
        <v/>
      </c>
    </row>
    <row r="241" ht="19" customHeight="1">
      <c r="A241" s="104">
        <f>IF(B241="","",ROW()-5)</f>
        <v/>
      </c>
      <c r="B241" s="61" t="n"/>
      <c r="C241" s="61" t="n"/>
      <c r="D241" s="105" t="n"/>
      <c r="E241" s="49" t="n"/>
      <c r="F241" s="105" t="n"/>
      <c r="G241" s="49" t="n"/>
      <c r="H241" s="106" t="n"/>
      <c r="I241" s="107" t="n"/>
      <c r="J241" s="107" t="n"/>
      <c r="K241" s="107" t="n"/>
      <c r="L241" s="107" t="n"/>
      <c r="M241" s="106" t="n"/>
      <c r="N241" s="62" t="n"/>
      <c r="O241" s="49" t="n"/>
      <c r="P241" s="49" t="n"/>
      <c r="Q241" s="105" t="n"/>
      <c r="R241" s="105" t="n"/>
      <c r="S241" s="105" t="n"/>
      <c r="T241" s="105" t="n"/>
      <c r="U241" s="108">
        <f>IF(OR(H241="",I241="",I241=0),"",H241/I241)</f>
        <v/>
      </c>
      <c r="V241" s="109">
        <f>IF(OR(B241="",C241="",L241=""),"",MAX(0,C241-B241))</f>
        <v/>
      </c>
      <c r="W241" s="110">
        <f>IF(OR(L241="",U241=""),"",IF(E241="Short",(I241-L241)*U241,(L241-I241)*U241))</f>
        <v/>
      </c>
      <c r="X241" s="110">
        <f>IF(W241="","",W241-IF(M241="",0,M241))</f>
        <v/>
      </c>
      <c r="Y241" s="111">
        <f>IF(OR(X241="",H241="",H241=0),"",X241/H241)</f>
        <v/>
      </c>
      <c r="Z241" s="112">
        <f>IF(OR(I241="",J241="",U241=""),"",ABS(I241-J241)*U241)</f>
        <v/>
      </c>
      <c r="AA241" s="113">
        <f>IF(OR(X241="",Z241="",Z241=0),"",X241/Z241)</f>
        <v/>
      </c>
      <c r="AB241" s="114">
        <f>IF(OR(I241="",J241="",K241="",I241=J241),"",ABS(K241-I241)/ABS(I241-J241))</f>
        <v/>
      </c>
      <c r="AC241" s="51">
        <f>IF(OR(B241="",D241="",H241="",I241=""),"",IF(L241="","Ouvert",IF(X241&gt;0,"Gagné",IF(X241&lt;0,"Perdu","Neutre"))))</f>
        <v/>
      </c>
      <c r="AD241" s="115">
        <f>IF(X241="","",IF(C241="",B241,C241))</f>
        <v/>
      </c>
      <c r="AE241" s="109">
        <f>IF(B241="","",WEEKDAY(B241,2))</f>
        <v/>
      </c>
      <c r="AF241" s="112">
        <f>IF(X241="","",'Paramètres'!$C$9+SUM($X$6:X241))</f>
        <v/>
      </c>
      <c r="AG241" s="112">
        <f>IF(AF241="","",MAX('Paramètres'!$C$9,MAX($AF$6:AF241)))</f>
        <v/>
      </c>
      <c r="AH241" s="116">
        <f>IF(AF241="","",AF241/AG241-1)</f>
        <v/>
      </c>
      <c r="AI241" s="109">
        <f>IF(X241="","",IF(X241&gt;0,IF(N(AI240)&gt;0,N(AI240)+1,1),IF(X241&lt;0,IF(N(AI240)&lt;0,N(AI240)-1,-1),0)))</f>
        <v/>
      </c>
      <c r="AJ241" s="116">
        <f>IF(Z241="","",IFERROR(Z241/('Paramètres'!$C$9+SUM($X$5:X240)),""))</f>
        <v/>
      </c>
      <c r="AK241" s="109">
        <f>IF(AC241="Ouvert",COUNTIF($AC$6:AC241,"Ouvert"),"")</f>
        <v/>
      </c>
    </row>
    <row r="242" ht="19" customHeight="1">
      <c r="A242" s="104">
        <f>IF(B242="","",ROW()-5)</f>
        <v/>
      </c>
      <c r="B242" s="61" t="n"/>
      <c r="C242" s="61" t="n"/>
      <c r="D242" s="105" t="n"/>
      <c r="E242" s="49" t="n"/>
      <c r="F242" s="105" t="n"/>
      <c r="G242" s="49" t="n"/>
      <c r="H242" s="106" t="n"/>
      <c r="I242" s="107" t="n"/>
      <c r="J242" s="107" t="n"/>
      <c r="K242" s="107" t="n"/>
      <c r="L242" s="107" t="n"/>
      <c r="M242" s="106" t="n"/>
      <c r="N242" s="62" t="n"/>
      <c r="O242" s="49" t="n"/>
      <c r="P242" s="49" t="n"/>
      <c r="Q242" s="105" t="n"/>
      <c r="R242" s="105" t="n"/>
      <c r="S242" s="105" t="n"/>
      <c r="T242" s="105" t="n"/>
      <c r="U242" s="108">
        <f>IF(OR(H242="",I242="",I242=0),"",H242/I242)</f>
        <v/>
      </c>
      <c r="V242" s="109">
        <f>IF(OR(B242="",C242="",L242=""),"",MAX(0,C242-B242))</f>
        <v/>
      </c>
      <c r="W242" s="110">
        <f>IF(OR(L242="",U242=""),"",IF(E242="Short",(I242-L242)*U242,(L242-I242)*U242))</f>
        <v/>
      </c>
      <c r="X242" s="110">
        <f>IF(W242="","",W242-IF(M242="",0,M242))</f>
        <v/>
      </c>
      <c r="Y242" s="111">
        <f>IF(OR(X242="",H242="",H242=0),"",X242/H242)</f>
        <v/>
      </c>
      <c r="Z242" s="112">
        <f>IF(OR(I242="",J242="",U242=""),"",ABS(I242-J242)*U242)</f>
        <v/>
      </c>
      <c r="AA242" s="113">
        <f>IF(OR(X242="",Z242="",Z242=0),"",X242/Z242)</f>
        <v/>
      </c>
      <c r="AB242" s="114">
        <f>IF(OR(I242="",J242="",K242="",I242=J242),"",ABS(K242-I242)/ABS(I242-J242))</f>
        <v/>
      </c>
      <c r="AC242" s="51">
        <f>IF(OR(B242="",D242="",H242="",I242=""),"",IF(L242="","Ouvert",IF(X242&gt;0,"Gagné",IF(X242&lt;0,"Perdu","Neutre"))))</f>
        <v/>
      </c>
      <c r="AD242" s="115">
        <f>IF(X242="","",IF(C242="",B242,C242))</f>
        <v/>
      </c>
      <c r="AE242" s="109">
        <f>IF(B242="","",WEEKDAY(B242,2))</f>
        <v/>
      </c>
      <c r="AF242" s="112">
        <f>IF(X242="","",'Paramètres'!$C$9+SUM($X$6:X242))</f>
        <v/>
      </c>
      <c r="AG242" s="112">
        <f>IF(AF242="","",MAX('Paramètres'!$C$9,MAX($AF$6:AF242)))</f>
        <v/>
      </c>
      <c r="AH242" s="116">
        <f>IF(AF242="","",AF242/AG242-1)</f>
        <v/>
      </c>
      <c r="AI242" s="109">
        <f>IF(X242="","",IF(X242&gt;0,IF(N(AI241)&gt;0,N(AI241)+1,1),IF(X242&lt;0,IF(N(AI241)&lt;0,N(AI241)-1,-1),0)))</f>
        <v/>
      </c>
      <c r="AJ242" s="116">
        <f>IF(Z242="","",IFERROR(Z242/('Paramètres'!$C$9+SUM($X$5:X241)),""))</f>
        <v/>
      </c>
      <c r="AK242" s="109">
        <f>IF(AC242="Ouvert",COUNTIF($AC$6:AC242,"Ouvert"),"")</f>
        <v/>
      </c>
    </row>
    <row r="243" ht="19" customHeight="1">
      <c r="A243" s="104">
        <f>IF(B243="","",ROW()-5)</f>
        <v/>
      </c>
      <c r="B243" s="61" t="n"/>
      <c r="C243" s="61" t="n"/>
      <c r="D243" s="105" t="n"/>
      <c r="E243" s="49" t="n"/>
      <c r="F243" s="105" t="n"/>
      <c r="G243" s="49" t="n"/>
      <c r="H243" s="106" t="n"/>
      <c r="I243" s="107" t="n"/>
      <c r="J243" s="107" t="n"/>
      <c r="K243" s="107" t="n"/>
      <c r="L243" s="107" t="n"/>
      <c r="M243" s="106" t="n"/>
      <c r="N243" s="62" t="n"/>
      <c r="O243" s="49" t="n"/>
      <c r="P243" s="49" t="n"/>
      <c r="Q243" s="105" t="n"/>
      <c r="R243" s="105" t="n"/>
      <c r="S243" s="105" t="n"/>
      <c r="T243" s="105" t="n"/>
      <c r="U243" s="108">
        <f>IF(OR(H243="",I243="",I243=0),"",H243/I243)</f>
        <v/>
      </c>
      <c r="V243" s="109">
        <f>IF(OR(B243="",C243="",L243=""),"",MAX(0,C243-B243))</f>
        <v/>
      </c>
      <c r="W243" s="110">
        <f>IF(OR(L243="",U243=""),"",IF(E243="Short",(I243-L243)*U243,(L243-I243)*U243))</f>
        <v/>
      </c>
      <c r="X243" s="110">
        <f>IF(W243="","",W243-IF(M243="",0,M243))</f>
        <v/>
      </c>
      <c r="Y243" s="111">
        <f>IF(OR(X243="",H243="",H243=0),"",X243/H243)</f>
        <v/>
      </c>
      <c r="Z243" s="112">
        <f>IF(OR(I243="",J243="",U243=""),"",ABS(I243-J243)*U243)</f>
        <v/>
      </c>
      <c r="AA243" s="113">
        <f>IF(OR(X243="",Z243="",Z243=0),"",X243/Z243)</f>
        <v/>
      </c>
      <c r="AB243" s="114">
        <f>IF(OR(I243="",J243="",K243="",I243=J243),"",ABS(K243-I243)/ABS(I243-J243))</f>
        <v/>
      </c>
      <c r="AC243" s="51">
        <f>IF(OR(B243="",D243="",H243="",I243=""),"",IF(L243="","Ouvert",IF(X243&gt;0,"Gagné",IF(X243&lt;0,"Perdu","Neutre"))))</f>
        <v/>
      </c>
      <c r="AD243" s="115">
        <f>IF(X243="","",IF(C243="",B243,C243))</f>
        <v/>
      </c>
      <c r="AE243" s="109">
        <f>IF(B243="","",WEEKDAY(B243,2))</f>
        <v/>
      </c>
      <c r="AF243" s="112">
        <f>IF(X243="","",'Paramètres'!$C$9+SUM($X$6:X243))</f>
        <v/>
      </c>
      <c r="AG243" s="112">
        <f>IF(AF243="","",MAX('Paramètres'!$C$9,MAX($AF$6:AF243)))</f>
        <v/>
      </c>
      <c r="AH243" s="116">
        <f>IF(AF243="","",AF243/AG243-1)</f>
        <v/>
      </c>
      <c r="AI243" s="109">
        <f>IF(X243="","",IF(X243&gt;0,IF(N(AI242)&gt;0,N(AI242)+1,1),IF(X243&lt;0,IF(N(AI242)&lt;0,N(AI242)-1,-1),0)))</f>
        <v/>
      </c>
      <c r="AJ243" s="116">
        <f>IF(Z243="","",IFERROR(Z243/('Paramètres'!$C$9+SUM($X$5:X242)),""))</f>
        <v/>
      </c>
      <c r="AK243" s="109">
        <f>IF(AC243="Ouvert",COUNTIF($AC$6:AC243,"Ouvert"),"")</f>
        <v/>
      </c>
    </row>
    <row r="244" ht="19" customHeight="1">
      <c r="A244" s="104">
        <f>IF(B244="","",ROW()-5)</f>
        <v/>
      </c>
      <c r="B244" s="61" t="n"/>
      <c r="C244" s="61" t="n"/>
      <c r="D244" s="105" t="n"/>
      <c r="E244" s="49" t="n"/>
      <c r="F244" s="105" t="n"/>
      <c r="G244" s="49" t="n"/>
      <c r="H244" s="106" t="n"/>
      <c r="I244" s="107" t="n"/>
      <c r="J244" s="107" t="n"/>
      <c r="K244" s="107" t="n"/>
      <c r="L244" s="107" t="n"/>
      <c r="M244" s="106" t="n"/>
      <c r="N244" s="62" t="n"/>
      <c r="O244" s="49" t="n"/>
      <c r="P244" s="49" t="n"/>
      <c r="Q244" s="105" t="n"/>
      <c r="R244" s="105" t="n"/>
      <c r="S244" s="105" t="n"/>
      <c r="T244" s="105" t="n"/>
      <c r="U244" s="108">
        <f>IF(OR(H244="",I244="",I244=0),"",H244/I244)</f>
        <v/>
      </c>
      <c r="V244" s="109">
        <f>IF(OR(B244="",C244="",L244=""),"",MAX(0,C244-B244))</f>
        <v/>
      </c>
      <c r="W244" s="110">
        <f>IF(OR(L244="",U244=""),"",IF(E244="Short",(I244-L244)*U244,(L244-I244)*U244))</f>
        <v/>
      </c>
      <c r="X244" s="110">
        <f>IF(W244="","",W244-IF(M244="",0,M244))</f>
        <v/>
      </c>
      <c r="Y244" s="111">
        <f>IF(OR(X244="",H244="",H244=0),"",X244/H244)</f>
        <v/>
      </c>
      <c r="Z244" s="112">
        <f>IF(OR(I244="",J244="",U244=""),"",ABS(I244-J244)*U244)</f>
        <v/>
      </c>
      <c r="AA244" s="113">
        <f>IF(OR(X244="",Z244="",Z244=0),"",X244/Z244)</f>
        <v/>
      </c>
      <c r="AB244" s="114">
        <f>IF(OR(I244="",J244="",K244="",I244=J244),"",ABS(K244-I244)/ABS(I244-J244))</f>
        <v/>
      </c>
      <c r="AC244" s="51">
        <f>IF(OR(B244="",D244="",H244="",I244=""),"",IF(L244="","Ouvert",IF(X244&gt;0,"Gagné",IF(X244&lt;0,"Perdu","Neutre"))))</f>
        <v/>
      </c>
      <c r="AD244" s="115">
        <f>IF(X244="","",IF(C244="",B244,C244))</f>
        <v/>
      </c>
      <c r="AE244" s="109">
        <f>IF(B244="","",WEEKDAY(B244,2))</f>
        <v/>
      </c>
      <c r="AF244" s="112">
        <f>IF(X244="","",'Paramètres'!$C$9+SUM($X$6:X244))</f>
        <v/>
      </c>
      <c r="AG244" s="112">
        <f>IF(AF244="","",MAX('Paramètres'!$C$9,MAX($AF$6:AF244)))</f>
        <v/>
      </c>
      <c r="AH244" s="116">
        <f>IF(AF244="","",AF244/AG244-1)</f>
        <v/>
      </c>
      <c r="AI244" s="109">
        <f>IF(X244="","",IF(X244&gt;0,IF(N(AI243)&gt;0,N(AI243)+1,1),IF(X244&lt;0,IF(N(AI243)&lt;0,N(AI243)-1,-1),0)))</f>
        <v/>
      </c>
      <c r="AJ244" s="116">
        <f>IF(Z244="","",IFERROR(Z244/('Paramètres'!$C$9+SUM($X$5:X243)),""))</f>
        <v/>
      </c>
      <c r="AK244" s="109">
        <f>IF(AC244="Ouvert",COUNTIF($AC$6:AC244,"Ouvert"),"")</f>
        <v/>
      </c>
    </row>
    <row r="245" ht="19" customHeight="1">
      <c r="A245" s="104">
        <f>IF(B245="","",ROW()-5)</f>
        <v/>
      </c>
      <c r="B245" s="61" t="n"/>
      <c r="C245" s="61" t="n"/>
      <c r="D245" s="105" t="n"/>
      <c r="E245" s="49" t="n"/>
      <c r="F245" s="105" t="n"/>
      <c r="G245" s="49" t="n"/>
      <c r="H245" s="106" t="n"/>
      <c r="I245" s="107" t="n"/>
      <c r="J245" s="107" t="n"/>
      <c r="K245" s="107" t="n"/>
      <c r="L245" s="107" t="n"/>
      <c r="M245" s="106" t="n"/>
      <c r="N245" s="62" t="n"/>
      <c r="O245" s="49" t="n"/>
      <c r="P245" s="49" t="n"/>
      <c r="Q245" s="105" t="n"/>
      <c r="R245" s="105" t="n"/>
      <c r="S245" s="105" t="n"/>
      <c r="T245" s="105" t="n"/>
      <c r="U245" s="108">
        <f>IF(OR(H245="",I245="",I245=0),"",H245/I245)</f>
        <v/>
      </c>
      <c r="V245" s="109">
        <f>IF(OR(B245="",C245="",L245=""),"",MAX(0,C245-B245))</f>
        <v/>
      </c>
      <c r="W245" s="110">
        <f>IF(OR(L245="",U245=""),"",IF(E245="Short",(I245-L245)*U245,(L245-I245)*U245))</f>
        <v/>
      </c>
      <c r="X245" s="110">
        <f>IF(W245="","",W245-IF(M245="",0,M245))</f>
        <v/>
      </c>
      <c r="Y245" s="111">
        <f>IF(OR(X245="",H245="",H245=0),"",X245/H245)</f>
        <v/>
      </c>
      <c r="Z245" s="112">
        <f>IF(OR(I245="",J245="",U245=""),"",ABS(I245-J245)*U245)</f>
        <v/>
      </c>
      <c r="AA245" s="113">
        <f>IF(OR(X245="",Z245="",Z245=0),"",X245/Z245)</f>
        <v/>
      </c>
      <c r="AB245" s="114">
        <f>IF(OR(I245="",J245="",K245="",I245=J245),"",ABS(K245-I245)/ABS(I245-J245))</f>
        <v/>
      </c>
      <c r="AC245" s="51">
        <f>IF(OR(B245="",D245="",H245="",I245=""),"",IF(L245="","Ouvert",IF(X245&gt;0,"Gagné",IF(X245&lt;0,"Perdu","Neutre"))))</f>
        <v/>
      </c>
      <c r="AD245" s="115">
        <f>IF(X245="","",IF(C245="",B245,C245))</f>
        <v/>
      </c>
      <c r="AE245" s="109">
        <f>IF(B245="","",WEEKDAY(B245,2))</f>
        <v/>
      </c>
      <c r="AF245" s="112">
        <f>IF(X245="","",'Paramètres'!$C$9+SUM($X$6:X245))</f>
        <v/>
      </c>
      <c r="AG245" s="112">
        <f>IF(AF245="","",MAX('Paramètres'!$C$9,MAX($AF$6:AF245)))</f>
        <v/>
      </c>
      <c r="AH245" s="116">
        <f>IF(AF245="","",AF245/AG245-1)</f>
        <v/>
      </c>
      <c r="AI245" s="109">
        <f>IF(X245="","",IF(X245&gt;0,IF(N(AI244)&gt;0,N(AI244)+1,1),IF(X245&lt;0,IF(N(AI244)&lt;0,N(AI244)-1,-1),0)))</f>
        <v/>
      </c>
      <c r="AJ245" s="116">
        <f>IF(Z245="","",IFERROR(Z245/('Paramètres'!$C$9+SUM($X$5:X244)),""))</f>
        <v/>
      </c>
      <c r="AK245" s="109">
        <f>IF(AC245="Ouvert",COUNTIF($AC$6:AC245,"Ouvert"),"")</f>
        <v/>
      </c>
    </row>
    <row r="246" ht="19" customHeight="1">
      <c r="A246" s="104">
        <f>IF(B246="","",ROW()-5)</f>
        <v/>
      </c>
      <c r="B246" s="61" t="n"/>
      <c r="C246" s="61" t="n"/>
      <c r="D246" s="105" t="n"/>
      <c r="E246" s="49" t="n"/>
      <c r="F246" s="105" t="n"/>
      <c r="G246" s="49" t="n"/>
      <c r="H246" s="106" t="n"/>
      <c r="I246" s="107" t="n"/>
      <c r="J246" s="107" t="n"/>
      <c r="K246" s="107" t="n"/>
      <c r="L246" s="107" t="n"/>
      <c r="M246" s="106" t="n"/>
      <c r="N246" s="62" t="n"/>
      <c r="O246" s="49" t="n"/>
      <c r="P246" s="49" t="n"/>
      <c r="Q246" s="105" t="n"/>
      <c r="R246" s="105" t="n"/>
      <c r="S246" s="105" t="n"/>
      <c r="T246" s="105" t="n"/>
      <c r="U246" s="108">
        <f>IF(OR(H246="",I246="",I246=0),"",H246/I246)</f>
        <v/>
      </c>
      <c r="V246" s="109">
        <f>IF(OR(B246="",C246="",L246=""),"",MAX(0,C246-B246))</f>
        <v/>
      </c>
      <c r="W246" s="110">
        <f>IF(OR(L246="",U246=""),"",IF(E246="Short",(I246-L246)*U246,(L246-I246)*U246))</f>
        <v/>
      </c>
      <c r="X246" s="110">
        <f>IF(W246="","",W246-IF(M246="",0,M246))</f>
        <v/>
      </c>
      <c r="Y246" s="111">
        <f>IF(OR(X246="",H246="",H246=0),"",X246/H246)</f>
        <v/>
      </c>
      <c r="Z246" s="112">
        <f>IF(OR(I246="",J246="",U246=""),"",ABS(I246-J246)*U246)</f>
        <v/>
      </c>
      <c r="AA246" s="113">
        <f>IF(OR(X246="",Z246="",Z246=0),"",X246/Z246)</f>
        <v/>
      </c>
      <c r="AB246" s="114">
        <f>IF(OR(I246="",J246="",K246="",I246=J246),"",ABS(K246-I246)/ABS(I246-J246))</f>
        <v/>
      </c>
      <c r="AC246" s="51">
        <f>IF(OR(B246="",D246="",H246="",I246=""),"",IF(L246="","Ouvert",IF(X246&gt;0,"Gagné",IF(X246&lt;0,"Perdu","Neutre"))))</f>
        <v/>
      </c>
      <c r="AD246" s="115">
        <f>IF(X246="","",IF(C246="",B246,C246))</f>
        <v/>
      </c>
      <c r="AE246" s="109">
        <f>IF(B246="","",WEEKDAY(B246,2))</f>
        <v/>
      </c>
      <c r="AF246" s="112">
        <f>IF(X246="","",'Paramètres'!$C$9+SUM($X$6:X246))</f>
        <v/>
      </c>
      <c r="AG246" s="112">
        <f>IF(AF246="","",MAX('Paramètres'!$C$9,MAX($AF$6:AF246)))</f>
        <v/>
      </c>
      <c r="AH246" s="116">
        <f>IF(AF246="","",AF246/AG246-1)</f>
        <v/>
      </c>
      <c r="AI246" s="109">
        <f>IF(X246="","",IF(X246&gt;0,IF(N(AI245)&gt;0,N(AI245)+1,1),IF(X246&lt;0,IF(N(AI245)&lt;0,N(AI245)-1,-1),0)))</f>
        <v/>
      </c>
      <c r="AJ246" s="116">
        <f>IF(Z246="","",IFERROR(Z246/('Paramètres'!$C$9+SUM($X$5:X245)),""))</f>
        <v/>
      </c>
      <c r="AK246" s="109">
        <f>IF(AC246="Ouvert",COUNTIF($AC$6:AC246,"Ouvert"),"")</f>
        <v/>
      </c>
    </row>
    <row r="247" ht="19" customHeight="1">
      <c r="A247" s="104">
        <f>IF(B247="","",ROW()-5)</f>
        <v/>
      </c>
      <c r="B247" s="61" t="n"/>
      <c r="C247" s="61" t="n"/>
      <c r="D247" s="105" t="n"/>
      <c r="E247" s="49" t="n"/>
      <c r="F247" s="105" t="n"/>
      <c r="G247" s="49" t="n"/>
      <c r="H247" s="106" t="n"/>
      <c r="I247" s="107" t="n"/>
      <c r="J247" s="107" t="n"/>
      <c r="K247" s="107" t="n"/>
      <c r="L247" s="107" t="n"/>
      <c r="M247" s="106" t="n"/>
      <c r="N247" s="62" t="n"/>
      <c r="O247" s="49" t="n"/>
      <c r="P247" s="49" t="n"/>
      <c r="Q247" s="105" t="n"/>
      <c r="R247" s="105" t="n"/>
      <c r="S247" s="105" t="n"/>
      <c r="T247" s="105" t="n"/>
      <c r="U247" s="108">
        <f>IF(OR(H247="",I247="",I247=0),"",H247/I247)</f>
        <v/>
      </c>
      <c r="V247" s="109">
        <f>IF(OR(B247="",C247="",L247=""),"",MAX(0,C247-B247))</f>
        <v/>
      </c>
      <c r="W247" s="110">
        <f>IF(OR(L247="",U247=""),"",IF(E247="Short",(I247-L247)*U247,(L247-I247)*U247))</f>
        <v/>
      </c>
      <c r="X247" s="110">
        <f>IF(W247="","",W247-IF(M247="",0,M247))</f>
        <v/>
      </c>
      <c r="Y247" s="111">
        <f>IF(OR(X247="",H247="",H247=0),"",X247/H247)</f>
        <v/>
      </c>
      <c r="Z247" s="112">
        <f>IF(OR(I247="",J247="",U247=""),"",ABS(I247-J247)*U247)</f>
        <v/>
      </c>
      <c r="AA247" s="113">
        <f>IF(OR(X247="",Z247="",Z247=0),"",X247/Z247)</f>
        <v/>
      </c>
      <c r="AB247" s="114">
        <f>IF(OR(I247="",J247="",K247="",I247=J247),"",ABS(K247-I247)/ABS(I247-J247))</f>
        <v/>
      </c>
      <c r="AC247" s="51">
        <f>IF(OR(B247="",D247="",H247="",I247=""),"",IF(L247="","Ouvert",IF(X247&gt;0,"Gagné",IF(X247&lt;0,"Perdu","Neutre"))))</f>
        <v/>
      </c>
      <c r="AD247" s="115">
        <f>IF(X247="","",IF(C247="",B247,C247))</f>
        <v/>
      </c>
      <c r="AE247" s="109">
        <f>IF(B247="","",WEEKDAY(B247,2))</f>
        <v/>
      </c>
      <c r="AF247" s="112">
        <f>IF(X247="","",'Paramètres'!$C$9+SUM($X$6:X247))</f>
        <v/>
      </c>
      <c r="AG247" s="112">
        <f>IF(AF247="","",MAX('Paramètres'!$C$9,MAX($AF$6:AF247)))</f>
        <v/>
      </c>
      <c r="AH247" s="116">
        <f>IF(AF247="","",AF247/AG247-1)</f>
        <v/>
      </c>
      <c r="AI247" s="109">
        <f>IF(X247="","",IF(X247&gt;0,IF(N(AI246)&gt;0,N(AI246)+1,1),IF(X247&lt;0,IF(N(AI246)&lt;0,N(AI246)-1,-1),0)))</f>
        <v/>
      </c>
      <c r="AJ247" s="116">
        <f>IF(Z247="","",IFERROR(Z247/('Paramètres'!$C$9+SUM($X$5:X246)),""))</f>
        <v/>
      </c>
      <c r="AK247" s="109">
        <f>IF(AC247="Ouvert",COUNTIF($AC$6:AC247,"Ouvert"),"")</f>
        <v/>
      </c>
    </row>
    <row r="248" ht="19" customHeight="1">
      <c r="A248" s="104">
        <f>IF(B248="","",ROW()-5)</f>
        <v/>
      </c>
      <c r="B248" s="61" t="n"/>
      <c r="C248" s="61" t="n"/>
      <c r="D248" s="105" t="n"/>
      <c r="E248" s="49" t="n"/>
      <c r="F248" s="105" t="n"/>
      <c r="G248" s="49" t="n"/>
      <c r="H248" s="106" t="n"/>
      <c r="I248" s="107" t="n"/>
      <c r="J248" s="107" t="n"/>
      <c r="K248" s="107" t="n"/>
      <c r="L248" s="107" t="n"/>
      <c r="M248" s="106" t="n"/>
      <c r="N248" s="62" t="n"/>
      <c r="O248" s="49" t="n"/>
      <c r="P248" s="49" t="n"/>
      <c r="Q248" s="105" t="n"/>
      <c r="R248" s="105" t="n"/>
      <c r="S248" s="105" t="n"/>
      <c r="T248" s="105" t="n"/>
      <c r="U248" s="108">
        <f>IF(OR(H248="",I248="",I248=0),"",H248/I248)</f>
        <v/>
      </c>
      <c r="V248" s="109">
        <f>IF(OR(B248="",C248="",L248=""),"",MAX(0,C248-B248))</f>
        <v/>
      </c>
      <c r="W248" s="110">
        <f>IF(OR(L248="",U248=""),"",IF(E248="Short",(I248-L248)*U248,(L248-I248)*U248))</f>
        <v/>
      </c>
      <c r="X248" s="110">
        <f>IF(W248="","",W248-IF(M248="",0,M248))</f>
        <v/>
      </c>
      <c r="Y248" s="111">
        <f>IF(OR(X248="",H248="",H248=0),"",X248/H248)</f>
        <v/>
      </c>
      <c r="Z248" s="112">
        <f>IF(OR(I248="",J248="",U248=""),"",ABS(I248-J248)*U248)</f>
        <v/>
      </c>
      <c r="AA248" s="113">
        <f>IF(OR(X248="",Z248="",Z248=0),"",X248/Z248)</f>
        <v/>
      </c>
      <c r="AB248" s="114">
        <f>IF(OR(I248="",J248="",K248="",I248=J248),"",ABS(K248-I248)/ABS(I248-J248))</f>
        <v/>
      </c>
      <c r="AC248" s="51">
        <f>IF(OR(B248="",D248="",H248="",I248=""),"",IF(L248="","Ouvert",IF(X248&gt;0,"Gagné",IF(X248&lt;0,"Perdu","Neutre"))))</f>
        <v/>
      </c>
      <c r="AD248" s="115">
        <f>IF(X248="","",IF(C248="",B248,C248))</f>
        <v/>
      </c>
      <c r="AE248" s="109">
        <f>IF(B248="","",WEEKDAY(B248,2))</f>
        <v/>
      </c>
      <c r="AF248" s="112">
        <f>IF(X248="","",'Paramètres'!$C$9+SUM($X$6:X248))</f>
        <v/>
      </c>
      <c r="AG248" s="112">
        <f>IF(AF248="","",MAX('Paramètres'!$C$9,MAX($AF$6:AF248)))</f>
        <v/>
      </c>
      <c r="AH248" s="116">
        <f>IF(AF248="","",AF248/AG248-1)</f>
        <v/>
      </c>
      <c r="AI248" s="109">
        <f>IF(X248="","",IF(X248&gt;0,IF(N(AI247)&gt;0,N(AI247)+1,1),IF(X248&lt;0,IF(N(AI247)&lt;0,N(AI247)-1,-1),0)))</f>
        <v/>
      </c>
      <c r="AJ248" s="116">
        <f>IF(Z248="","",IFERROR(Z248/('Paramètres'!$C$9+SUM($X$5:X247)),""))</f>
        <v/>
      </c>
      <c r="AK248" s="109">
        <f>IF(AC248="Ouvert",COUNTIF($AC$6:AC248,"Ouvert"),"")</f>
        <v/>
      </c>
    </row>
    <row r="249" ht="19" customHeight="1">
      <c r="A249" s="104">
        <f>IF(B249="","",ROW()-5)</f>
        <v/>
      </c>
      <c r="B249" s="61" t="n"/>
      <c r="C249" s="61" t="n"/>
      <c r="D249" s="105" t="n"/>
      <c r="E249" s="49" t="n"/>
      <c r="F249" s="105" t="n"/>
      <c r="G249" s="49" t="n"/>
      <c r="H249" s="106" t="n"/>
      <c r="I249" s="107" t="n"/>
      <c r="J249" s="107" t="n"/>
      <c r="K249" s="107" t="n"/>
      <c r="L249" s="107" t="n"/>
      <c r="M249" s="106" t="n"/>
      <c r="N249" s="62" t="n"/>
      <c r="O249" s="49" t="n"/>
      <c r="P249" s="49" t="n"/>
      <c r="Q249" s="105" t="n"/>
      <c r="R249" s="105" t="n"/>
      <c r="S249" s="105" t="n"/>
      <c r="T249" s="105" t="n"/>
      <c r="U249" s="108">
        <f>IF(OR(H249="",I249="",I249=0),"",H249/I249)</f>
        <v/>
      </c>
      <c r="V249" s="109">
        <f>IF(OR(B249="",C249="",L249=""),"",MAX(0,C249-B249))</f>
        <v/>
      </c>
      <c r="W249" s="110">
        <f>IF(OR(L249="",U249=""),"",IF(E249="Short",(I249-L249)*U249,(L249-I249)*U249))</f>
        <v/>
      </c>
      <c r="X249" s="110">
        <f>IF(W249="","",W249-IF(M249="",0,M249))</f>
        <v/>
      </c>
      <c r="Y249" s="111">
        <f>IF(OR(X249="",H249="",H249=0),"",X249/H249)</f>
        <v/>
      </c>
      <c r="Z249" s="112">
        <f>IF(OR(I249="",J249="",U249=""),"",ABS(I249-J249)*U249)</f>
        <v/>
      </c>
      <c r="AA249" s="113">
        <f>IF(OR(X249="",Z249="",Z249=0),"",X249/Z249)</f>
        <v/>
      </c>
      <c r="AB249" s="114">
        <f>IF(OR(I249="",J249="",K249="",I249=J249),"",ABS(K249-I249)/ABS(I249-J249))</f>
        <v/>
      </c>
      <c r="AC249" s="51">
        <f>IF(OR(B249="",D249="",H249="",I249=""),"",IF(L249="","Ouvert",IF(X249&gt;0,"Gagné",IF(X249&lt;0,"Perdu","Neutre"))))</f>
        <v/>
      </c>
      <c r="AD249" s="115">
        <f>IF(X249="","",IF(C249="",B249,C249))</f>
        <v/>
      </c>
      <c r="AE249" s="109">
        <f>IF(B249="","",WEEKDAY(B249,2))</f>
        <v/>
      </c>
      <c r="AF249" s="112">
        <f>IF(X249="","",'Paramètres'!$C$9+SUM($X$6:X249))</f>
        <v/>
      </c>
      <c r="AG249" s="112">
        <f>IF(AF249="","",MAX('Paramètres'!$C$9,MAX($AF$6:AF249)))</f>
        <v/>
      </c>
      <c r="AH249" s="116">
        <f>IF(AF249="","",AF249/AG249-1)</f>
        <v/>
      </c>
      <c r="AI249" s="109">
        <f>IF(X249="","",IF(X249&gt;0,IF(N(AI248)&gt;0,N(AI248)+1,1),IF(X249&lt;0,IF(N(AI248)&lt;0,N(AI248)-1,-1),0)))</f>
        <v/>
      </c>
      <c r="AJ249" s="116">
        <f>IF(Z249="","",IFERROR(Z249/('Paramètres'!$C$9+SUM($X$5:X248)),""))</f>
        <v/>
      </c>
      <c r="AK249" s="109">
        <f>IF(AC249="Ouvert",COUNTIF($AC$6:AC249,"Ouvert"),"")</f>
        <v/>
      </c>
    </row>
    <row r="250" ht="19" customHeight="1">
      <c r="A250" s="104">
        <f>IF(B250="","",ROW()-5)</f>
        <v/>
      </c>
      <c r="B250" s="61" t="n"/>
      <c r="C250" s="61" t="n"/>
      <c r="D250" s="105" t="n"/>
      <c r="E250" s="49" t="n"/>
      <c r="F250" s="105" t="n"/>
      <c r="G250" s="49" t="n"/>
      <c r="H250" s="106" t="n"/>
      <c r="I250" s="107" t="n"/>
      <c r="J250" s="107" t="n"/>
      <c r="K250" s="107" t="n"/>
      <c r="L250" s="107" t="n"/>
      <c r="M250" s="106" t="n"/>
      <c r="N250" s="62" t="n"/>
      <c r="O250" s="49" t="n"/>
      <c r="P250" s="49" t="n"/>
      <c r="Q250" s="105" t="n"/>
      <c r="R250" s="105" t="n"/>
      <c r="S250" s="105" t="n"/>
      <c r="T250" s="105" t="n"/>
      <c r="U250" s="108">
        <f>IF(OR(H250="",I250="",I250=0),"",H250/I250)</f>
        <v/>
      </c>
      <c r="V250" s="109">
        <f>IF(OR(B250="",C250="",L250=""),"",MAX(0,C250-B250))</f>
        <v/>
      </c>
      <c r="W250" s="110">
        <f>IF(OR(L250="",U250=""),"",IF(E250="Short",(I250-L250)*U250,(L250-I250)*U250))</f>
        <v/>
      </c>
      <c r="X250" s="110">
        <f>IF(W250="","",W250-IF(M250="",0,M250))</f>
        <v/>
      </c>
      <c r="Y250" s="111">
        <f>IF(OR(X250="",H250="",H250=0),"",X250/H250)</f>
        <v/>
      </c>
      <c r="Z250" s="112">
        <f>IF(OR(I250="",J250="",U250=""),"",ABS(I250-J250)*U250)</f>
        <v/>
      </c>
      <c r="AA250" s="113">
        <f>IF(OR(X250="",Z250="",Z250=0),"",X250/Z250)</f>
        <v/>
      </c>
      <c r="AB250" s="114">
        <f>IF(OR(I250="",J250="",K250="",I250=J250),"",ABS(K250-I250)/ABS(I250-J250))</f>
        <v/>
      </c>
      <c r="AC250" s="51">
        <f>IF(OR(B250="",D250="",H250="",I250=""),"",IF(L250="","Ouvert",IF(X250&gt;0,"Gagné",IF(X250&lt;0,"Perdu","Neutre"))))</f>
        <v/>
      </c>
      <c r="AD250" s="115">
        <f>IF(X250="","",IF(C250="",B250,C250))</f>
        <v/>
      </c>
      <c r="AE250" s="109">
        <f>IF(B250="","",WEEKDAY(B250,2))</f>
        <v/>
      </c>
      <c r="AF250" s="112">
        <f>IF(X250="","",'Paramètres'!$C$9+SUM($X$6:X250))</f>
        <v/>
      </c>
      <c r="AG250" s="112">
        <f>IF(AF250="","",MAX('Paramètres'!$C$9,MAX($AF$6:AF250)))</f>
        <v/>
      </c>
      <c r="AH250" s="116">
        <f>IF(AF250="","",AF250/AG250-1)</f>
        <v/>
      </c>
      <c r="AI250" s="109">
        <f>IF(X250="","",IF(X250&gt;0,IF(N(AI249)&gt;0,N(AI249)+1,1),IF(X250&lt;0,IF(N(AI249)&lt;0,N(AI249)-1,-1),0)))</f>
        <v/>
      </c>
      <c r="AJ250" s="116">
        <f>IF(Z250="","",IFERROR(Z250/('Paramètres'!$C$9+SUM($X$5:X249)),""))</f>
        <v/>
      </c>
      <c r="AK250" s="109">
        <f>IF(AC250="Ouvert",COUNTIF($AC$6:AC250,"Ouvert"),"")</f>
        <v/>
      </c>
    </row>
    <row r="251" ht="19" customHeight="1">
      <c r="A251" s="104">
        <f>IF(B251="","",ROW()-5)</f>
        <v/>
      </c>
      <c r="B251" s="61" t="n"/>
      <c r="C251" s="61" t="n"/>
      <c r="D251" s="105" t="n"/>
      <c r="E251" s="49" t="n"/>
      <c r="F251" s="105" t="n"/>
      <c r="G251" s="49" t="n"/>
      <c r="H251" s="106" t="n"/>
      <c r="I251" s="107" t="n"/>
      <c r="J251" s="107" t="n"/>
      <c r="K251" s="107" t="n"/>
      <c r="L251" s="107" t="n"/>
      <c r="M251" s="106" t="n"/>
      <c r="N251" s="62" t="n"/>
      <c r="O251" s="49" t="n"/>
      <c r="P251" s="49" t="n"/>
      <c r="Q251" s="105" t="n"/>
      <c r="R251" s="105" t="n"/>
      <c r="S251" s="105" t="n"/>
      <c r="T251" s="105" t="n"/>
      <c r="U251" s="108">
        <f>IF(OR(H251="",I251="",I251=0),"",H251/I251)</f>
        <v/>
      </c>
      <c r="V251" s="109">
        <f>IF(OR(B251="",C251="",L251=""),"",MAX(0,C251-B251))</f>
        <v/>
      </c>
      <c r="W251" s="110">
        <f>IF(OR(L251="",U251=""),"",IF(E251="Short",(I251-L251)*U251,(L251-I251)*U251))</f>
        <v/>
      </c>
      <c r="X251" s="110">
        <f>IF(W251="","",W251-IF(M251="",0,M251))</f>
        <v/>
      </c>
      <c r="Y251" s="111">
        <f>IF(OR(X251="",H251="",H251=0),"",X251/H251)</f>
        <v/>
      </c>
      <c r="Z251" s="112">
        <f>IF(OR(I251="",J251="",U251=""),"",ABS(I251-J251)*U251)</f>
        <v/>
      </c>
      <c r="AA251" s="113">
        <f>IF(OR(X251="",Z251="",Z251=0),"",X251/Z251)</f>
        <v/>
      </c>
      <c r="AB251" s="114">
        <f>IF(OR(I251="",J251="",K251="",I251=J251),"",ABS(K251-I251)/ABS(I251-J251))</f>
        <v/>
      </c>
      <c r="AC251" s="51">
        <f>IF(OR(B251="",D251="",H251="",I251=""),"",IF(L251="","Ouvert",IF(X251&gt;0,"Gagné",IF(X251&lt;0,"Perdu","Neutre"))))</f>
        <v/>
      </c>
      <c r="AD251" s="115">
        <f>IF(X251="","",IF(C251="",B251,C251))</f>
        <v/>
      </c>
      <c r="AE251" s="109">
        <f>IF(B251="","",WEEKDAY(B251,2))</f>
        <v/>
      </c>
      <c r="AF251" s="112">
        <f>IF(X251="","",'Paramètres'!$C$9+SUM($X$6:X251))</f>
        <v/>
      </c>
      <c r="AG251" s="112">
        <f>IF(AF251="","",MAX('Paramètres'!$C$9,MAX($AF$6:AF251)))</f>
        <v/>
      </c>
      <c r="AH251" s="116">
        <f>IF(AF251="","",AF251/AG251-1)</f>
        <v/>
      </c>
      <c r="AI251" s="109">
        <f>IF(X251="","",IF(X251&gt;0,IF(N(AI250)&gt;0,N(AI250)+1,1),IF(X251&lt;0,IF(N(AI250)&lt;0,N(AI250)-1,-1),0)))</f>
        <v/>
      </c>
      <c r="AJ251" s="116">
        <f>IF(Z251="","",IFERROR(Z251/('Paramètres'!$C$9+SUM($X$5:X250)),""))</f>
        <v/>
      </c>
      <c r="AK251" s="109">
        <f>IF(AC251="Ouvert",COUNTIF($AC$6:AC251,"Ouvert"),"")</f>
        <v/>
      </c>
    </row>
    <row r="252" ht="19" customHeight="1">
      <c r="A252" s="104">
        <f>IF(B252="","",ROW()-5)</f>
        <v/>
      </c>
      <c r="B252" s="61" t="n"/>
      <c r="C252" s="61" t="n"/>
      <c r="D252" s="105" t="n"/>
      <c r="E252" s="49" t="n"/>
      <c r="F252" s="105" t="n"/>
      <c r="G252" s="49" t="n"/>
      <c r="H252" s="106" t="n"/>
      <c r="I252" s="107" t="n"/>
      <c r="J252" s="107" t="n"/>
      <c r="K252" s="107" t="n"/>
      <c r="L252" s="107" t="n"/>
      <c r="M252" s="106" t="n"/>
      <c r="N252" s="62" t="n"/>
      <c r="O252" s="49" t="n"/>
      <c r="P252" s="49" t="n"/>
      <c r="Q252" s="105" t="n"/>
      <c r="R252" s="105" t="n"/>
      <c r="S252" s="105" t="n"/>
      <c r="T252" s="105" t="n"/>
      <c r="U252" s="108">
        <f>IF(OR(H252="",I252="",I252=0),"",H252/I252)</f>
        <v/>
      </c>
      <c r="V252" s="109">
        <f>IF(OR(B252="",C252="",L252=""),"",MAX(0,C252-B252))</f>
        <v/>
      </c>
      <c r="W252" s="110">
        <f>IF(OR(L252="",U252=""),"",IF(E252="Short",(I252-L252)*U252,(L252-I252)*U252))</f>
        <v/>
      </c>
      <c r="X252" s="110">
        <f>IF(W252="","",W252-IF(M252="",0,M252))</f>
        <v/>
      </c>
      <c r="Y252" s="111">
        <f>IF(OR(X252="",H252="",H252=0),"",X252/H252)</f>
        <v/>
      </c>
      <c r="Z252" s="112">
        <f>IF(OR(I252="",J252="",U252=""),"",ABS(I252-J252)*U252)</f>
        <v/>
      </c>
      <c r="AA252" s="113">
        <f>IF(OR(X252="",Z252="",Z252=0),"",X252/Z252)</f>
        <v/>
      </c>
      <c r="AB252" s="114">
        <f>IF(OR(I252="",J252="",K252="",I252=J252),"",ABS(K252-I252)/ABS(I252-J252))</f>
        <v/>
      </c>
      <c r="AC252" s="51">
        <f>IF(OR(B252="",D252="",H252="",I252=""),"",IF(L252="","Ouvert",IF(X252&gt;0,"Gagné",IF(X252&lt;0,"Perdu","Neutre"))))</f>
        <v/>
      </c>
      <c r="AD252" s="115">
        <f>IF(X252="","",IF(C252="",B252,C252))</f>
        <v/>
      </c>
      <c r="AE252" s="109">
        <f>IF(B252="","",WEEKDAY(B252,2))</f>
        <v/>
      </c>
      <c r="AF252" s="112">
        <f>IF(X252="","",'Paramètres'!$C$9+SUM($X$6:X252))</f>
        <v/>
      </c>
      <c r="AG252" s="112">
        <f>IF(AF252="","",MAX('Paramètres'!$C$9,MAX($AF$6:AF252)))</f>
        <v/>
      </c>
      <c r="AH252" s="116">
        <f>IF(AF252="","",AF252/AG252-1)</f>
        <v/>
      </c>
      <c r="AI252" s="109">
        <f>IF(X252="","",IF(X252&gt;0,IF(N(AI251)&gt;0,N(AI251)+1,1),IF(X252&lt;0,IF(N(AI251)&lt;0,N(AI251)-1,-1),0)))</f>
        <v/>
      </c>
      <c r="AJ252" s="116">
        <f>IF(Z252="","",IFERROR(Z252/('Paramètres'!$C$9+SUM($X$5:X251)),""))</f>
        <v/>
      </c>
      <c r="AK252" s="109">
        <f>IF(AC252="Ouvert",COUNTIF($AC$6:AC252,"Ouvert"),"")</f>
        <v/>
      </c>
    </row>
    <row r="253" ht="19" customHeight="1">
      <c r="A253" s="104">
        <f>IF(B253="","",ROW()-5)</f>
        <v/>
      </c>
      <c r="B253" s="61" t="n"/>
      <c r="C253" s="61" t="n"/>
      <c r="D253" s="105" t="n"/>
      <c r="E253" s="49" t="n"/>
      <c r="F253" s="105" t="n"/>
      <c r="G253" s="49" t="n"/>
      <c r="H253" s="106" t="n"/>
      <c r="I253" s="107" t="n"/>
      <c r="J253" s="107" t="n"/>
      <c r="K253" s="107" t="n"/>
      <c r="L253" s="107" t="n"/>
      <c r="M253" s="106" t="n"/>
      <c r="N253" s="62" t="n"/>
      <c r="O253" s="49" t="n"/>
      <c r="P253" s="49" t="n"/>
      <c r="Q253" s="105" t="n"/>
      <c r="R253" s="105" t="n"/>
      <c r="S253" s="105" t="n"/>
      <c r="T253" s="105" t="n"/>
      <c r="U253" s="108">
        <f>IF(OR(H253="",I253="",I253=0),"",H253/I253)</f>
        <v/>
      </c>
      <c r="V253" s="109">
        <f>IF(OR(B253="",C253="",L253=""),"",MAX(0,C253-B253))</f>
        <v/>
      </c>
      <c r="W253" s="110">
        <f>IF(OR(L253="",U253=""),"",IF(E253="Short",(I253-L253)*U253,(L253-I253)*U253))</f>
        <v/>
      </c>
      <c r="X253" s="110">
        <f>IF(W253="","",W253-IF(M253="",0,M253))</f>
        <v/>
      </c>
      <c r="Y253" s="111">
        <f>IF(OR(X253="",H253="",H253=0),"",X253/H253)</f>
        <v/>
      </c>
      <c r="Z253" s="112">
        <f>IF(OR(I253="",J253="",U253=""),"",ABS(I253-J253)*U253)</f>
        <v/>
      </c>
      <c r="AA253" s="113">
        <f>IF(OR(X253="",Z253="",Z253=0),"",X253/Z253)</f>
        <v/>
      </c>
      <c r="AB253" s="114">
        <f>IF(OR(I253="",J253="",K253="",I253=J253),"",ABS(K253-I253)/ABS(I253-J253))</f>
        <v/>
      </c>
      <c r="AC253" s="51">
        <f>IF(OR(B253="",D253="",H253="",I253=""),"",IF(L253="","Ouvert",IF(X253&gt;0,"Gagné",IF(X253&lt;0,"Perdu","Neutre"))))</f>
        <v/>
      </c>
      <c r="AD253" s="115">
        <f>IF(X253="","",IF(C253="",B253,C253))</f>
        <v/>
      </c>
      <c r="AE253" s="109">
        <f>IF(B253="","",WEEKDAY(B253,2))</f>
        <v/>
      </c>
      <c r="AF253" s="112">
        <f>IF(X253="","",'Paramètres'!$C$9+SUM($X$6:X253))</f>
        <v/>
      </c>
      <c r="AG253" s="112">
        <f>IF(AF253="","",MAX('Paramètres'!$C$9,MAX($AF$6:AF253)))</f>
        <v/>
      </c>
      <c r="AH253" s="116">
        <f>IF(AF253="","",AF253/AG253-1)</f>
        <v/>
      </c>
      <c r="AI253" s="109">
        <f>IF(X253="","",IF(X253&gt;0,IF(N(AI252)&gt;0,N(AI252)+1,1),IF(X253&lt;0,IF(N(AI252)&lt;0,N(AI252)-1,-1),0)))</f>
        <v/>
      </c>
      <c r="AJ253" s="116">
        <f>IF(Z253="","",IFERROR(Z253/('Paramètres'!$C$9+SUM($X$5:X252)),""))</f>
        <v/>
      </c>
      <c r="AK253" s="109">
        <f>IF(AC253="Ouvert",COUNTIF($AC$6:AC253,"Ouvert"),"")</f>
        <v/>
      </c>
    </row>
    <row r="254" ht="19" customHeight="1">
      <c r="A254" s="104">
        <f>IF(B254="","",ROW()-5)</f>
        <v/>
      </c>
      <c r="B254" s="61" t="n"/>
      <c r="C254" s="61" t="n"/>
      <c r="D254" s="105" t="n"/>
      <c r="E254" s="49" t="n"/>
      <c r="F254" s="105" t="n"/>
      <c r="G254" s="49" t="n"/>
      <c r="H254" s="106" t="n"/>
      <c r="I254" s="107" t="n"/>
      <c r="J254" s="107" t="n"/>
      <c r="K254" s="107" t="n"/>
      <c r="L254" s="107" t="n"/>
      <c r="M254" s="106" t="n"/>
      <c r="N254" s="62" t="n"/>
      <c r="O254" s="49" t="n"/>
      <c r="P254" s="49" t="n"/>
      <c r="Q254" s="105" t="n"/>
      <c r="R254" s="105" t="n"/>
      <c r="S254" s="105" t="n"/>
      <c r="T254" s="105" t="n"/>
      <c r="U254" s="108">
        <f>IF(OR(H254="",I254="",I254=0),"",H254/I254)</f>
        <v/>
      </c>
      <c r="V254" s="109">
        <f>IF(OR(B254="",C254="",L254=""),"",MAX(0,C254-B254))</f>
        <v/>
      </c>
      <c r="W254" s="110">
        <f>IF(OR(L254="",U254=""),"",IF(E254="Short",(I254-L254)*U254,(L254-I254)*U254))</f>
        <v/>
      </c>
      <c r="X254" s="110">
        <f>IF(W254="","",W254-IF(M254="",0,M254))</f>
        <v/>
      </c>
      <c r="Y254" s="111">
        <f>IF(OR(X254="",H254="",H254=0),"",X254/H254)</f>
        <v/>
      </c>
      <c r="Z254" s="112">
        <f>IF(OR(I254="",J254="",U254=""),"",ABS(I254-J254)*U254)</f>
        <v/>
      </c>
      <c r="AA254" s="113">
        <f>IF(OR(X254="",Z254="",Z254=0),"",X254/Z254)</f>
        <v/>
      </c>
      <c r="AB254" s="114">
        <f>IF(OR(I254="",J254="",K254="",I254=J254),"",ABS(K254-I254)/ABS(I254-J254))</f>
        <v/>
      </c>
      <c r="AC254" s="51">
        <f>IF(OR(B254="",D254="",H254="",I254=""),"",IF(L254="","Ouvert",IF(X254&gt;0,"Gagné",IF(X254&lt;0,"Perdu","Neutre"))))</f>
        <v/>
      </c>
      <c r="AD254" s="115">
        <f>IF(X254="","",IF(C254="",B254,C254))</f>
        <v/>
      </c>
      <c r="AE254" s="109">
        <f>IF(B254="","",WEEKDAY(B254,2))</f>
        <v/>
      </c>
      <c r="AF254" s="112">
        <f>IF(X254="","",'Paramètres'!$C$9+SUM($X$6:X254))</f>
        <v/>
      </c>
      <c r="AG254" s="112">
        <f>IF(AF254="","",MAX('Paramètres'!$C$9,MAX($AF$6:AF254)))</f>
        <v/>
      </c>
      <c r="AH254" s="116">
        <f>IF(AF254="","",AF254/AG254-1)</f>
        <v/>
      </c>
      <c r="AI254" s="109">
        <f>IF(X254="","",IF(X254&gt;0,IF(N(AI253)&gt;0,N(AI253)+1,1),IF(X254&lt;0,IF(N(AI253)&lt;0,N(AI253)-1,-1),0)))</f>
        <v/>
      </c>
      <c r="AJ254" s="116">
        <f>IF(Z254="","",IFERROR(Z254/('Paramètres'!$C$9+SUM($X$5:X253)),""))</f>
        <v/>
      </c>
      <c r="AK254" s="109">
        <f>IF(AC254="Ouvert",COUNTIF($AC$6:AC254,"Ouvert"),"")</f>
        <v/>
      </c>
    </row>
    <row r="255" ht="19" customHeight="1">
      <c r="A255" s="104">
        <f>IF(B255="","",ROW()-5)</f>
        <v/>
      </c>
      <c r="B255" s="61" t="n"/>
      <c r="C255" s="61" t="n"/>
      <c r="D255" s="105" t="n"/>
      <c r="E255" s="49" t="n"/>
      <c r="F255" s="105" t="n"/>
      <c r="G255" s="49" t="n"/>
      <c r="H255" s="106" t="n"/>
      <c r="I255" s="107" t="n"/>
      <c r="J255" s="107" t="n"/>
      <c r="K255" s="107" t="n"/>
      <c r="L255" s="107" t="n"/>
      <c r="M255" s="106" t="n"/>
      <c r="N255" s="62" t="n"/>
      <c r="O255" s="49" t="n"/>
      <c r="P255" s="49" t="n"/>
      <c r="Q255" s="105" t="n"/>
      <c r="R255" s="105" t="n"/>
      <c r="S255" s="105" t="n"/>
      <c r="T255" s="105" t="n"/>
      <c r="U255" s="108">
        <f>IF(OR(H255="",I255="",I255=0),"",H255/I255)</f>
        <v/>
      </c>
      <c r="V255" s="109">
        <f>IF(OR(B255="",C255="",L255=""),"",MAX(0,C255-B255))</f>
        <v/>
      </c>
      <c r="W255" s="110">
        <f>IF(OR(L255="",U255=""),"",IF(E255="Short",(I255-L255)*U255,(L255-I255)*U255))</f>
        <v/>
      </c>
      <c r="X255" s="110">
        <f>IF(W255="","",W255-IF(M255="",0,M255))</f>
        <v/>
      </c>
      <c r="Y255" s="111">
        <f>IF(OR(X255="",H255="",H255=0),"",X255/H255)</f>
        <v/>
      </c>
      <c r="Z255" s="112">
        <f>IF(OR(I255="",J255="",U255=""),"",ABS(I255-J255)*U255)</f>
        <v/>
      </c>
      <c r="AA255" s="113">
        <f>IF(OR(X255="",Z255="",Z255=0),"",X255/Z255)</f>
        <v/>
      </c>
      <c r="AB255" s="114">
        <f>IF(OR(I255="",J255="",K255="",I255=J255),"",ABS(K255-I255)/ABS(I255-J255))</f>
        <v/>
      </c>
      <c r="AC255" s="51">
        <f>IF(OR(B255="",D255="",H255="",I255=""),"",IF(L255="","Ouvert",IF(X255&gt;0,"Gagné",IF(X255&lt;0,"Perdu","Neutre"))))</f>
        <v/>
      </c>
      <c r="AD255" s="115">
        <f>IF(X255="","",IF(C255="",B255,C255))</f>
        <v/>
      </c>
      <c r="AE255" s="109">
        <f>IF(B255="","",WEEKDAY(B255,2))</f>
        <v/>
      </c>
      <c r="AF255" s="112">
        <f>IF(X255="","",'Paramètres'!$C$9+SUM($X$6:X255))</f>
        <v/>
      </c>
      <c r="AG255" s="112">
        <f>IF(AF255="","",MAX('Paramètres'!$C$9,MAX($AF$6:AF255)))</f>
        <v/>
      </c>
      <c r="AH255" s="116">
        <f>IF(AF255="","",AF255/AG255-1)</f>
        <v/>
      </c>
      <c r="AI255" s="109">
        <f>IF(X255="","",IF(X255&gt;0,IF(N(AI254)&gt;0,N(AI254)+1,1),IF(X255&lt;0,IF(N(AI254)&lt;0,N(AI254)-1,-1),0)))</f>
        <v/>
      </c>
      <c r="AJ255" s="116">
        <f>IF(Z255="","",IFERROR(Z255/('Paramètres'!$C$9+SUM($X$5:X254)),""))</f>
        <v/>
      </c>
      <c r="AK255" s="109">
        <f>IF(AC255="Ouvert",COUNTIF($AC$6:AC255,"Ouvert"),"")</f>
        <v/>
      </c>
    </row>
    <row r="256" ht="19" customHeight="1">
      <c r="A256" s="104">
        <f>IF(B256="","",ROW()-5)</f>
        <v/>
      </c>
      <c r="B256" s="61" t="n"/>
      <c r="C256" s="61" t="n"/>
      <c r="D256" s="105" t="n"/>
      <c r="E256" s="49" t="n"/>
      <c r="F256" s="105" t="n"/>
      <c r="G256" s="49" t="n"/>
      <c r="H256" s="106" t="n"/>
      <c r="I256" s="107" t="n"/>
      <c r="J256" s="107" t="n"/>
      <c r="K256" s="107" t="n"/>
      <c r="L256" s="107" t="n"/>
      <c r="M256" s="106" t="n"/>
      <c r="N256" s="62" t="n"/>
      <c r="O256" s="49" t="n"/>
      <c r="P256" s="49" t="n"/>
      <c r="Q256" s="105" t="n"/>
      <c r="R256" s="105" t="n"/>
      <c r="S256" s="105" t="n"/>
      <c r="T256" s="105" t="n"/>
      <c r="U256" s="108">
        <f>IF(OR(H256="",I256="",I256=0),"",H256/I256)</f>
        <v/>
      </c>
      <c r="V256" s="109">
        <f>IF(OR(B256="",C256="",L256=""),"",MAX(0,C256-B256))</f>
        <v/>
      </c>
      <c r="W256" s="110">
        <f>IF(OR(L256="",U256=""),"",IF(E256="Short",(I256-L256)*U256,(L256-I256)*U256))</f>
        <v/>
      </c>
      <c r="X256" s="110">
        <f>IF(W256="","",W256-IF(M256="",0,M256))</f>
        <v/>
      </c>
      <c r="Y256" s="111">
        <f>IF(OR(X256="",H256="",H256=0),"",X256/H256)</f>
        <v/>
      </c>
      <c r="Z256" s="112">
        <f>IF(OR(I256="",J256="",U256=""),"",ABS(I256-J256)*U256)</f>
        <v/>
      </c>
      <c r="AA256" s="113">
        <f>IF(OR(X256="",Z256="",Z256=0),"",X256/Z256)</f>
        <v/>
      </c>
      <c r="AB256" s="114">
        <f>IF(OR(I256="",J256="",K256="",I256=J256),"",ABS(K256-I256)/ABS(I256-J256))</f>
        <v/>
      </c>
      <c r="AC256" s="51">
        <f>IF(OR(B256="",D256="",H256="",I256=""),"",IF(L256="","Ouvert",IF(X256&gt;0,"Gagné",IF(X256&lt;0,"Perdu","Neutre"))))</f>
        <v/>
      </c>
      <c r="AD256" s="115">
        <f>IF(X256="","",IF(C256="",B256,C256))</f>
        <v/>
      </c>
      <c r="AE256" s="109">
        <f>IF(B256="","",WEEKDAY(B256,2))</f>
        <v/>
      </c>
      <c r="AF256" s="112">
        <f>IF(X256="","",'Paramètres'!$C$9+SUM($X$6:X256))</f>
        <v/>
      </c>
      <c r="AG256" s="112">
        <f>IF(AF256="","",MAX('Paramètres'!$C$9,MAX($AF$6:AF256)))</f>
        <v/>
      </c>
      <c r="AH256" s="116">
        <f>IF(AF256="","",AF256/AG256-1)</f>
        <v/>
      </c>
      <c r="AI256" s="109">
        <f>IF(X256="","",IF(X256&gt;0,IF(N(AI255)&gt;0,N(AI255)+1,1),IF(X256&lt;0,IF(N(AI255)&lt;0,N(AI255)-1,-1),0)))</f>
        <v/>
      </c>
      <c r="AJ256" s="116">
        <f>IF(Z256="","",IFERROR(Z256/('Paramètres'!$C$9+SUM($X$5:X255)),""))</f>
        <v/>
      </c>
      <c r="AK256" s="109">
        <f>IF(AC256="Ouvert",COUNTIF($AC$6:AC256,"Ouvert"),"")</f>
        <v/>
      </c>
    </row>
    <row r="257" ht="19" customHeight="1">
      <c r="A257" s="104">
        <f>IF(B257="","",ROW()-5)</f>
        <v/>
      </c>
      <c r="B257" s="61" t="n"/>
      <c r="C257" s="61" t="n"/>
      <c r="D257" s="105" t="n"/>
      <c r="E257" s="49" t="n"/>
      <c r="F257" s="105" t="n"/>
      <c r="G257" s="49" t="n"/>
      <c r="H257" s="106" t="n"/>
      <c r="I257" s="107" t="n"/>
      <c r="J257" s="107" t="n"/>
      <c r="K257" s="107" t="n"/>
      <c r="L257" s="107" t="n"/>
      <c r="M257" s="106" t="n"/>
      <c r="N257" s="62" t="n"/>
      <c r="O257" s="49" t="n"/>
      <c r="P257" s="49" t="n"/>
      <c r="Q257" s="105" t="n"/>
      <c r="R257" s="105" t="n"/>
      <c r="S257" s="105" t="n"/>
      <c r="T257" s="105" t="n"/>
      <c r="U257" s="108">
        <f>IF(OR(H257="",I257="",I257=0),"",H257/I257)</f>
        <v/>
      </c>
      <c r="V257" s="109">
        <f>IF(OR(B257="",C257="",L257=""),"",MAX(0,C257-B257))</f>
        <v/>
      </c>
      <c r="W257" s="110">
        <f>IF(OR(L257="",U257=""),"",IF(E257="Short",(I257-L257)*U257,(L257-I257)*U257))</f>
        <v/>
      </c>
      <c r="X257" s="110">
        <f>IF(W257="","",W257-IF(M257="",0,M257))</f>
        <v/>
      </c>
      <c r="Y257" s="111">
        <f>IF(OR(X257="",H257="",H257=0),"",X257/H257)</f>
        <v/>
      </c>
      <c r="Z257" s="112">
        <f>IF(OR(I257="",J257="",U257=""),"",ABS(I257-J257)*U257)</f>
        <v/>
      </c>
      <c r="AA257" s="113">
        <f>IF(OR(X257="",Z257="",Z257=0),"",X257/Z257)</f>
        <v/>
      </c>
      <c r="AB257" s="114">
        <f>IF(OR(I257="",J257="",K257="",I257=J257),"",ABS(K257-I257)/ABS(I257-J257))</f>
        <v/>
      </c>
      <c r="AC257" s="51">
        <f>IF(OR(B257="",D257="",H257="",I257=""),"",IF(L257="","Ouvert",IF(X257&gt;0,"Gagné",IF(X257&lt;0,"Perdu","Neutre"))))</f>
        <v/>
      </c>
      <c r="AD257" s="115">
        <f>IF(X257="","",IF(C257="",B257,C257))</f>
        <v/>
      </c>
      <c r="AE257" s="109">
        <f>IF(B257="","",WEEKDAY(B257,2))</f>
        <v/>
      </c>
      <c r="AF257" s="112">
        <f>IF(X257="","",'Paramètres'!$C$9+SUM($X$6:X257))</f>
        <v/>
      </c>
      <c r="AG257" s="112">
        <f>IF(AF257="","",MAX('Paramètres'!$C$9,MAX($AF$6:AF257)))</f>
        <v/>
      </c>
      <c r="AH257" s="116">
        <f>IF(AF257="","",AF257/AG257-1)</f>
        <v/>
      </c>
      <c r="AI257" s="109">
        <f>IF(X257="","",IF(X257&gt;0,IF(N(AI256)&gt;0,N(AI256)+1,1),IF(X257&lt;0,IF(N(AI256)&lt;0,N(AI256)-1,-1),0)))</f>
        <v/>
      </c>
      <c r="AJ257" s="116">
        <f>IF(Z257="","",IFERROR(Z257/('Paramètres'!$C$9+SUM($X$5:X256)),""))</f>
        <v/>
      </c>
      <c r="AK257" s="109">
        <f>IF(AC257="Ouvert",COUNTIF($AC$6:AC257,"Ouvert"),"")</f>
        <v/>
      </c>
    </row>
    <row r="258" ht="19" customHeight="1">
      <c r="A258" s="104">
        <f>IF(B258="","",ROW()-5)</f>
        <v/>
      </c>
      <c r="B258" s="61" t="n"/>
      <c r="C258" s="61" t="n"/>
      <c r="D258" s="105" t="n"/>
      <c r="E258" s="49" t="n"/>
      <c r="F258" s="105" t="n"/>
      <c r="G258" s="49" t="n"/>
      <c r="H258" s="106" t="n"/>
      <c r="I258" s="107" t="n"/>
      <c r="J258" s="107" t="n"/>
      <c r="K258" s="107" t="n"/>
      <c r="L258" s="107" t="n"/>
      <c r="M258" s="106" t="n"/>
      <c r="N258" s="62" t="n"/>
      <c r="O258" s="49" t="n"/>
      <c r="P258" s="49" t="n"/>
      <c r="Q258" s="105" t="n"/>
      <c r="R258" s="105" t="n"/>
      <c r="S258" s="105" t="n"/>
      <c r="T258" s="105" t="n"/>
      <c r="U258" s="108">
        <f>IF(OR(H258="",I258="",I258=0),"",H258/I258)</f>
        <v/>
      </c>
      <c r="V258" s="109">
        <f>IF(OR(B258="",C258="",L258=""),"",MAX(0,C258-B258))</f>
        <v/>
      </c>
      <c r="W258" s="110">
        <f>IF(OR(L258="",U258=""),"",IF(E258="Short",(I258-L258)*U258,(L258-I258)*U258))</f>
        <v/>
      </c>
      <c r="X258" s="110">
        <f>IF(W258="","",W258-IF(M258="",0,M258))</f>
        <v/>
      </c>
      <c r="Y258" s="111">
        <f>IF(OR(X258="",H258="",H258=0),"",X258/H258)</f>
        <v/>
      </c>
      <c r="Z258" s="112">
        <f>IF(OR(I258="",J258="",U258=""),"",ABS(I258-J258)*U258)</f>
        <v/>
      </c>
      <c r="AA258" s="113">
        <f>IF(OR(X258="",Z258="",Z258=0),"",X258/Z258)</f>
        <v/>
      </c>
      <c r="AB258" s="114">
        <f>IF(OR(I258="",J258="",K258="",I258=J258),"",ABS(K258-I258)/ABS(I258-J258))</f>
        <v/>
      </c>
      <c r="AC258" s="51">
        <f>IF(OR(B258="",D258="",H258="",I258=""),"",IF(L258="","Ouvert",IF(X258&gt;0,"Gagné",IF(X258&lt;0,"Perdu","Neutre"))))</f>
        <v/>
      </c>
      <c r="AD258" s="115">
        <f>IF(X258="","",IF(C258="",B258,C258))</f>
        <v/>
      </c>
      <c r="AE258" s="109">
        <f>IF(B258="","",WEEKDAY(B258,2))</f>
        <v/>
      </c>
      <c r="AF258" s="112">
        <f>IF(X258="","",'Paramètres'!$C$9+SUM($X$6:X258))</f>
        <v/>
      </c>
      <c r="AG258" s="112">
        <f>IF(AF258="","",MAX('Paramètres'!$C$9,MAX($AF$6:AF258)))</f>
        <v/>
      </c>
      <c r="AH258" s="116">
        <f>IF(AF258="","",AF258/AG258-1)</f>
        <v/>
      </c>
      <c r="AI258" s="109">
        <f>IF(X258="","",IF(X258&gt;0,IF(N(AI257)&gt;0,N(AI257)+1,1),IF(X258&lt;0,IF(N(AI257)&lt;0,N(AI257)-1,-1),0)))</f>
        <v/>
      </c>
      <c r="AJ258" s="116">
        <f>IF(Z258="","",IFERROR(Z258/('Paramètres'!$C$9+SUM($X$5:X257)),""))</f>
        <v/>
      </c>
      <c r="AK258" s="109">
        <f>IF(AC258="Ouvert",COUNTIF($AC$6:AC258,"Ouvert"),"")</f>
        <v/>
      </c>
    </row>
    <row r="259" ht="19" customHeight="1">
      <c r="A259" s="104">
        <f>IF(B259="","",ROW()-5)</f>
        <v/>
      </c>
      <c r="B259" s="61" t="n"/>
      <c r="C259" s="61" t="n"/>
      <c r="D259" s="105" t="n"/>
      <c r="E259" s="49" t="n"/>
      <c r="F259" s="105" t="n"/>
      <c r="G259" s="49" t="n"/>
      <c r="H259" s="106" t="n"/>
      <c r="I259" s="107" t="n"/>
      <c r="J259" s="107" t="n"/>
      <c r="K259" s="107" t="n"/>
      <c r="L259" s="107" t="n"/>
      <c r="M259" s="106" t="n"/>
      <c r="N259" s="62" t="n"/>
      <c r="O259" s="49" t="n"/>
      <c r="P259" s="49" t="n"/>
      <c r="Q259" s="105" t="n"/>
      <c r="R259" s="105" t="n"/>
      <c r="S259" s="105" t="n"/>
      <c r="T259" s="105" t="n"/>
      <c r="U259" s="108">
        <f>IF(OR(H259="",I259="",I259=0),"",H259/I259)</f>
        <v/>
      </c>
      <c r="V259" s="109">
        <f>IF(OR(B259="",C259="",L259=""),"",MAX(0,C259-B259))</f>
        <v/>
      </c>
      <c r="W259" s="110">
        <f>IF(OR(L259="",U259=""),"",IF(E259="Short",(I259-L259)*U259,(L259-I259)*U259))</f>
        <v/>
      </c>
      <c r="X259" s="110">
        <f>IF(W259="","",W259-IF(M259="",0,M259))</f>
        <v/>
      </c>
      <c r="Y259" s="111">
        <f>IF(OR(X259="",H259="",H259=0),"",X259/H259)</f>
        <v/>
      </c>
      <c r="Z259" s="112">
        <f>IF(OR(I259="",J259="",U259=""),"",ABS(I259-J259)*U259)</f>
        <v/>
      </c>
      <c r="AA259" s="113">
        <f>IF(OR(X259="",Z259="",Z259=0),"",X259/Z259)</f>
        <v/>
      </c>
      <c r="AB259" s="114">
        <f>IF(OR(I259="",J259="",K259="",I259=J259),"",ABS(K259-I259)/ABS(I259-J259))</f>
        <v/>
      </c>
      <c r="AC259" s="51">
        <f>IF(OR(B259="",D259="",H259="",I259=""),"",IF(L259="","Ouvert",IF(X259&gt;0,"Gagné",IF(X259&lt;0,"Perdu","Neutre"))))</f>
        <v/>
      </c>
      <c r="AD259" s="115">
        <f>IF(X259="","",IF(C259="",B259,C259))</f>
        <v/>
      </c>
      <c r="AE259" s="109">
        <f>IF(B259="","",WEEKDAY(B259,2))</f>
        <v/>
      </c>
      <c r="AF259" s="112">
        <f>IF(X259="","",'Paramètres'!$C$9+SUM($X$6:X259))</f>
        <v/>
      </c>
      <c r="AG259" s="112">
        <f>IF(AF259="","",MAX('Paramètres'!$C$9,MAX($AF$6:AF259)))</f>
        <v/>
      </c>
      <c r="AH259" s="116">
        <f>IF(AF259="","",AF259/AG259-1)</f>
        <v/>
      </c>
      <c r="AI259" s="109">
        <f>IF(X259="","",IF(X259&gt;0,IF(N(AI258)&gt;0,N(AI258)+1,1),IF(X259&lt;0,IF(N(AI258)&lt;0,N(AI258)-1,-1),0)))</f>
        <v/>
      </c>
      <c r="AJ259" s="116">
        <f>IF(Z259="","",IFERROR(Z259/('Paramètres'!$C$9+SUM($X$5:X258)),""))</f>
        <v/>
      </c>
      <c r="AK259" s="109">
        <f>IF(AC259="Ouvert",COUNTIF($AC$6:AC259,"Ouvert"),"")</f>
        <v/>
      </c>
    </row>
    <row r="260" ht="19" customHeight="1">
      <c r="A260" s="104">
        <f>IF(B260="","",ROW()-5)</f>
        <v/>
      </c>
      <c r="B260" s="61" t="n"/>
      <c r="C260" s="61" t="n"/>
      <c r="D260" s="105" t="n"/>
      <c r="E260" s="49" t="n"/>
      <c r="F260" s="105" t="n"/>
      <c r="G260" s="49" t="n"/>
      <c r="H260" s="106" t="n"/>
      <c r="I260" s="107" t="n"/>
      <c r="J260" s="107" t="n"/>
      <c r="K260" s="107" t="n"/>
      <c r="L260" s="107" t="n"/>
      <c r="M260" s="106" t="n"/>
      <c r="N260" s="62" t="n"/>
      <c r="O260" s="49" t="n"/>
      <c r="P260" s="49" t="n"/>
      <c r="Q260" s="105" t="n"/>
      <c r="R260" s="105" t="n"/>
      <c r="S260" s="105" t="n"/>
      <c r="T260" s="105" t="n"/>
      <c r="U260" s="108">
        <f>IF(OR(H260="",I260="",I260=0),"",H260/I260)</f>
        <v/>
      </c>
      <c r="V260" s="109">
        <f>IF(OR(B260="",C260="",L260=""),"",MAX(0,C260-B260))</f>
        <v/>
      </c>
      <c r="W260" s="110">
        <f>IF(OR(L260="",U260=""),"",IF(E260="Short",(I260-L260)*U260,(L260-I260)*U260))</f>
        <v/>
      </c>
      <c r="X260" s="110">
        <f>IF(W260="","",W260-IF(M260="",0,M260))</f>
        <v/>
      </c>
      <c r="Y260" s="111">
        <f>IF(OR(X260="",H260="",H260=0),"",X260/H260)</f>
        <v/>
      </c>
      <c r="Z260" s="112">
        <f>IF(OR(I260="",J260="",U260=""),"",ABS(I260-J260)*U260)</f>
        <v/>
      </c>
      <c r="AA260" s="113">
        <f>IF(OR(X260="",Z260="",Z260=0),"",X260/Z260)</f>
        <v/>
      </c>
      <c r="AB260" s="114">
        <f>IF(OR(I260="",J260="",K260="",I260=J260),"",ABS(K260-I260)/ABS(I260-J260))</f>
        <v/>
      </c>
      <c r="AC260" s="51">
        <f>IF(OR(B260="",D260="",H260="",I260=""),"",IF(L260="","Ouvert",IF(X260&gt;0,"Gagné",IF(X260&lt;0,"Perdu","Neutre"))))</f>
        <v/>
      </c>
      <c r="AD260" s="115">
        <f>IF(X260="","",IF(C260="",B260,C260))</f>
        <v/>
      </c>
      <c r="AE260" s="109">
        <f>IF(B260="","",WEEKDAY(B260,2))</f>
        <v/>
      </c>
      <c r="AF260" s="112">
        <f>IF(X260="","",'Paramètres'!$C$9+SUM($X$6:X260))</f>
        <v/>
      </c>
      <c r="AG260" s="112">
        <f>IF(AF260="","",MAX('Paramètres'!$C$9,MAX($AF$6:AF260)))</f>
        <v/>
      </c>
      <c r="AH260" s="116">
        <f>IF(AF260="","",AF260/AG260-1)</f>
        <v/>
      </c>
      <c r="AI260" s="109">
        <f>IF(X260="","",IF(X260&gt;0,IF(N(AI259)&gt;0,N(AI259)+1,1),IF(X260&lt;0,IF(N(AI259)&lt;0,N(AI259)-1,-1),0)))</f>
        <v/>
      </c>
      <c r="AJ260" s="116">
        <f>IF(Z260="","",IFERROR(Z260/('Paramètres'!$C$9+SUM($X$5:X259)),""))</f>
        <v/>
      </c>
      <c r="AK260" s="109">
        <f>IF(AC260="Ouvert",COUNTIF($AC$6:AC260,"Ouvert"),"")</f>
        <v/>
      </c>
    </row>
    <row r="261" ht="19" customHeight="1">
      <c r="A261" s="104">
        <f>IF(B261="","",ROW()-5)</f>
        <v/>
      </c>
      <c r="B261" s="61" t="n"/>
      <c r="C261" s="61" t="n"/>
      <c r="D261" s="105" t="n"/>
      <c r="E261" s="49" t="n"/>
      <c r="F261" s="105" t="n"/>
      <c r="G261" s="49" t="n"/>
      <c r="H261" s="106" t="n"/>
      <c r="I261" s="107" t="n"/>
      <c r="J261" s="107" t="n"/>
      <c r="K261" s="107" t="n"/>
      <c r="L261" s="107" t="n"/>
      <c r="M261" s="106" t="n"/>
      <c r="N261" s="62" t="n"/>
      <c r="O261" s="49" t="n"/>
      <c r="P261" s="49" t="n"/>
      <c r="Q261" s="105" t="n"/>
      <c r="R261" s="105" t="n"/>
      <c r="S261" s="105" t="n"/>
      <c r="T261" s="105" t="n"/>
      <c r="U261" s="108">
        <f>IF(OR(H261="",I261="",I261=0),"",H261/I261)</f>
        <v/>
      </c>
      <c r="V261" s="109">
        <f>IF(OR(B261="",C261="",L261=""),"",MAX(0,C261-B261))</f>
        <v/>
      </c>
      <c r="W261" s="110">
        <f>IF(OR(L261="",U261=""),"",IF(E261="Short",(I261-L261)*U261,(L261-I261)*U261))</f>
        <v/>
      </c>
      <c r="X261" s="110">
        <f>IF(W261="","",W261-IF(M261="",0,M261))</f>
        <v/>
      </c>
      <c r="Y261" s="111">
        <f>IF(OR(X261="",H261="",H261=0),"",X261/H261)</f>
        <v/>
      </c>
      <c r="Z261" s="112">
        <f>IF(OR(I261="",J261="",U261=""),"",ABS(I261-J261)*U261)</f>
        <v/>
      </c>
      <c r="AA261" s="113">
        <f>IF(OR(X261="",Z261="",Z261=0),"",X261/Z261)</f>
        <v/>
      </c>
      <c r="AB261" s="114">
        <f>IF(OR(I261="",J261="",K261="",I261=J261),"",ABS(K261-I261)/ABS(I261-J261))</f>
        <v/>
      </c>
      <c r="AC261" s="51">
        <f>IF(OR(B261="",D261="",H261="",I261=""),"",IF(L261="","Ouvert",IF(X261&gt;0,"Gagné",IF(X261&lt;0,"Perdu","Neutre"))))</f>
        <v/>
      </c>
      <c r="AD261" s="115">
        <f>IF(X261="","",IF(C261="",B261,C261))</f>
        <v/>
      </c>
      <c r="AE261" s="109">
        <f>IF(B261="","",WEEKDAY(B261,2))</f>
        <v/>
      </c>
      <c r="AF261" s="112">
        <f>IF(X261="","",'Paramètres'!$C$9+SUM($X$6:X261))</f>
        <v/>
      </c>
      <c r="AG261" s="112">
        <f>IF(AF261="","",MAX('Paramètres'!$C$9,MAX($AF$6:AF261)))</f>
        <v/>
      </c>
      <c r="AH261" s="116">
        <f>IF(AF261="","",AF261/AG261-1)</f>
        <v/>
      </c>
      <c r="AI261" s="109">
        <f>IF(X261="","",IF(X261&gt;0,IF(N(AI260)&gt;0,N(AI260)+1,1),IF(X261&lt;0,IF(N(AI260)&lt;0,N(AI260)-1,-1),0)))</f>
        <v/>
      </c>
      <c r="AJ261" s="116">
        <f>IF(Z261="","",IFERROR(Z261/('Paramètres'!$C$9+SUM($X$5:X260)),""))</f>
        <v/>
      </c>
      <c r="AK261" s="109">
        <f>IF(AC261="Ouvert",COUNTIF($AC$6:AC261,"Ouvert"),"")</f>
        <v/>
      </c>
    </row>
    <row r="262" ht="19" customHeight="1">
      <c r="A262" s="104">
        <f>IF(B262="","",ROW()-5)</f>
        <v/>
      </c>
      <c r="B262" s="61" t="n"/>
      <c r="C262" s="61" t="n"/>
      <c r="D262" s="105" t="n"/>
      <c r="E262" s="49" t="n"/>
      <c r="F262" s="105" t="n"/>
      <c r="G262" s="49" t="n"/>
      <c r="H262" s="106" t="n"/>
      <c r="I262" s="107" t="n"/>
      <c r="J262" s="107" t="n"/>
      <c r="K262" s="107" t="n"/>
      <c r="L262" s="107" t="n"/>
      <c r="M262" s="106" t="n"/>
      <c r="N262" s="62" t="n"/>
      <c r="O262" s="49" t="n"/>
      <c r="P262" s="49" t="n"/>
      <c r="Q262" s="105" t="n"/>
      <c r="R262" s="105" t="n"/>
      <c r="S262" s="105" t="n"/>
      <c r="T262" s="105" t="n"/>
      <c r="U262" s="108">
        <f>IF(OR(H262="",I262="",I262=0),"",H262/I262)</f>
        <v/>
      </c>
      <c r="V262" s="109">
        <f>IF(OR(B262="",C262="",L262=""),"",MAX(0,C262-B262))</f>
        <v/>
      </c>
      <c r="W262" s="110">
        <f>IF(OR(L262="",U262=""),"",IF(E262="Short",(I262-L262)*U262,(L262-I262)*U262))</f>
        <v/>
      </c>
      <c r="X262" s="110">
        <f>IF(W262="","",W262-IF(M262="",0,M262))</f>
        <v/>
      </c>
      <c r="Y262" s="111">
        <f>IF(OR(X262="",H262="",H262=0),"",X262/H262)</f>
        <v/>
      </c>
      <c r="Z262" s="112">
        <f>IF(OR(I262="",J262="",U262=""),"",ABS(I262-J262)*U262)</f>
        <v/>
      </c>
      <c r="AA262" s="113">
        <f>IF(OR(X262="",Z262="",Z262=0),"",X262/Z262)</f>
        <v/>
      </c>
      <c r="AB262" s="114">
        <f>IF(OR(I262="",J262="",K262="",I262=J262),"",ABS(K262-I262)/ABS(I262-J262))</f>
        <v/>
      </c>
      <c r="AC262" s="51">
        <f>IF(OR(B262="",D262="",H262="",I262=""),"",IF(L262="","Ouvert",IF(X262&gt;0,"Gagné",IF(X262&lt;0,"Perdu","Neutre"))))</f>
        <v/>
      </c>
      <c r="AD262" s="115">
        <f>IF(X262="","",IF(C262="",B262,C262))</f>
        <v/>
      </c>
      <c r="AE262" s="109">
        <f>IF(B262="","",WEEKDAY(B262,2))</f>
        <v/>
      </c>
      <c r="AF262" s="112">
        <f>IF(X262="","",'Paramètres'!$C$9+SUM($X$6:X262))</f>
        <v/>
      </c>
      <c r="AG262" s="112">
        <f>IF(AF262="","",MAX('Paramètres'!$C$9,MAX($AF$6:AF262)))</f>
        <v/>
      </c>
      <c r="AH262" s="116">
        <f>IF(AF262="","",AF262/AG262-1)</f>
        <v/>
      </c>
      <c r="AI262" s="109">
        <f>IF(X262="","",IF(X262&gt;0,IF(N(AI261)&gt;0,N(AI261)+1,1),IF(X262&lt;0,IF(N(AI261)&lt;0,N(AI261)-1,-1),0)))</f>
        <v/>
      </c>
      <c r="AJ262" s="116">
        <f>IF(Z262="","",IFERROR(Z262/('Paramètres'!$C$9+SUM($X$5:X261)),""))</f>
        <v/>
      </c>
      <c r="AK262" s="109">
        <f>IF(AC262="Ouvert",COUNTIF($AC$6:AC262,"Ouvert"),"")</f>
        <v/>
      </c>
    </row>
    <row r="263" ht="19" customHeight="1">
      <c r="A263" s="104">
        <f>IF(B263="","",ROW()-5)</f>
        <v/>
      </c>
      <c r="B263" s="61" t="n"/>
      <c r="C263" s="61" t="n"/>
      <c r="D263" s="105" t="n"/>
      <c r="E263" s="49" t="n"/>
      <c r="F263" s="105" t="n"/>
      <c r="G263" s="49" t="n"/>
      <c r="H263" s="106" t="n"/>
      <c r="I263" s="107" t="n"/>
      <c r="J263" s="107" t="n"/>
      <c r="K263" s="107" t="n"/>
      <c r="L263" s="107" t="n"/>
      <c r="M263" s="106" t="n"/>
      <c r="N263" s="62" t="n"/>
      <c r="O263" s="49" t="n"/>
      <c r="P263" s="49" t="n"/>
      <c r="Q263" s="105" t="n"/>
      <c r="R263" s="105" t="n"/>
      <c r="S263" s="105" t="n"/>
      <c r="T263" s="105" t="n"/>
      <c r="U263" s="108">
        <f>IF(OR(H263="",I263="",I263=0),"",H263/I263)</f>
        <v/>
      </c>
      <c r="V263" s="109">
        <f>IF(OR(B263="",C263="",L263=""),"",MAX(0,C263-B263))</f>
        <v/>
      </c>
      <c r="W263" s="110">
        <f>IF(OR(L263="",U263=""),"",IF(E263="Short",(I263-L263)*U263,(L263-I263)*U263))</f>
        <v/>
      </c>
      <c r="X263" s="110">
        <f>IF(W263="","",W263-IF(M263="",0,M263))</f>
        <v/>
      </c>
      <c r="Y263" s="111">
        <f>IF(OR(X263="",H263="",H263=0),"",X263/H263)</f>
        <v/>
      </c>
      <c r="Z263" s="112">
        <f>IF(OR(I263="",J263="",U263=""),"",ABS(I263-J263)*U263)</f>
        <v/>
      </c>
      <c r="AA263" s="113">
        <f>IF(OR(X263="",Z263="",Z263=0),"",X263/Z263)</f>
        <v/>
      </c>
      <c r="AB263" s="114">
        <f>IF(OR(I263="",J263="",K263="",I263=J263),"",ABS(K263-I263)/ABS(I263-J263))</f>
        <v/>
      </c>
      <c r="AC263" s="51">
        <f>IF(OR(B263="",D263="",H263="",I263=""),"",IF(L263="","Ouvert",IF(X263&gt;0,"Gagné",IF(X263&lt;0,"Perdu","Neutre"))))</f>
        <v/>
      </c>
      <c r="AD263" s="115">
        <f>IF(X263="","",IF(C263="",B263,C263))</f>
        <v/>
      </c>
      <c r="AE263" s="109">
        <f>IF(B263="","",WEEKDAY(B263,2))</f>
        <v/>
      </c>
      <c r="AF263" s="112">
        <f>IF(X263="","",'Paramètres'!$C$9+SUM($X$6:X263))</f>
        <v/>
      </c>
      <c r="AG263" s="112">
        <f>IF(AF263="","",MAX('Paramètres'!$C$9,MAX($AF$6:AF263)))</f>
        <v/>
      </c>
      <c r="AH263" s="116">
        <f>IF(AF263="","",AF263/AG263-1)</f>
        <v/>
      </c>
      <c r="AI263" s="109">
        <f>IF(X263="","",IF(X263&gt;0,IF(N(AI262)&gt;0,N(AI262)+1,1),IF(X263&lt;0,IF(N(AI262)&lt;0,N(AI262)-1,-1),0)))</f>
        <v/>
      </c>
      <c r="AJ263" s="116">
        <f>IF(Z263="","",IFERROR(Z263/('Paramètres'!$C$9+SUM($X$5:X262)),""))</f>
        <v/>
      </c>
      <c r="AK263" s="109">
        <f>IF(AC263="Ouvert",COUNTIF($AC$6:AC263,"Ouvert"),"")</f>
        <v/>
      </c>
    </row>
    <row r="264" ht="19" customHeight="1">
      <c r="A264" s="104">
        <f>IF(B264="","",ROW()-5)</f>
        <v/>
      </c>
      <c r="B264" s="61" t="n"/>
      <c r="C264" s="61" t="n"/>
      <c r="D264" s="105" t="n"/>
      <c r="E264" s="49" t="n"/>
      <c r="F264" s="105" t="n"/>
      <c r="G264" s="49" t="n"/>
      <c r="H264" s="106" t="n"/>
      <c r="I264" s="107" t="n"/>
      <c r="J264" s="107" t="n"/>
      <c r="K264" s="107" t="n"/>
      <c r="L264" s="107" t="n"/>
      <c r="M264" s="106" t="n"/>
      <c r="N264" s="62" t="n"/>
      <c r="O264" s="49" t="n"/>
      <c r="P264" s="49" t="n"/>
      <c r="Q264" s="105" t="n"/>
      <c r="R264" s="105" t="n"/>
      <c r="S264" s="105" t="n"/>
      <c r="T264" s="105" t="n"/>
      <c r="U264" s="108">
        <f>IF(OR(H264="",I264="",I264=0),"",H264/I264)</f>
        <v/>
      </c>
      <c r="V264" s="109">
        <f>IF(OR(B264="",C264="",L264=""),"",MAX(0,C264-B264))</f>
        <v/>
      </c>
      <c r="W264" s="110">
        <f>IF(OR(L264="",U264=""),"",IF(E264="Short",(I264-L264)*U264,(L264-I264)*U264))</f>
        <v/>
      </c>
      <c r="X264" s="110">
        <f>IF(W264="","",W264-IF(M264="",0,M264))</f>
        <v/>
      </c>
      <c r="Y264" s="111">
        <f>IF(OR(X264="",H264="",H264=0),"",X264/H264)</f>
        <v/>
      </c>
      <c r="Z264" s="112">
        <f>IF(OR(I264="",J264="",U264=""),"",ABS(I264-J264)*U264)</f>
        <v/>
      </c>
      <c r="AA264" s="113">
        <f>IF(OR(X264="",Z264="",Z264=0),"",X264/Z264)</f>
        <v/>
      </c>
      <c r="AB264" s="114">
        <f>IF(OR(I264="",J264="",K264="",I264=J264),"",ABS(K264-I264)/ABS(I264-J264))</f>
        <v/>
      </c>
      <c r="AC264" s="51">
        <f>IF(OR(B264="",D264="",H264="",I264=""),"",IF(L264="","Ouvert",IF(X264&gt;0,"Gagné",IF(X264&lt;0,"Perdu","Neutre"))))</f>
        <v/>
      </c>
      <c r="AD264" s="115">
        <f>IF(X264="","",IF(C264="",B264,C264))</f>
        <v/>
      </c>
      <c r="AE264" s="109">
        <f>IF(B264="","",WEEKDAY(B264,2))</f>
        <v/>
      </c>
      <c r="AF264" s="112">
        <f>IF(X264="","",'Paramètres'!$C$9+SUM($X$6:X264))</f>
        <v/>
      </c>
      <c r="AG264" s="112">
        <f>IF(AF264="","",MAX('Paramètres'!$C$9,MAX($AF$6:AF264)))</f>
        <v/>
      </c>
      <c r="AH264" s="116">
        <f>IF(AF264="","",AF264/AG264-1)</f>
        <v/>
      </c>
      <c r="AI264" s="109">
        <f>IF(X264="","",IF(X264&gt;0,IF(N(AI263)&gt;0,N(AI263)+1,1),IF(X264&lt;0,IF(N(AI263)&lt;0,N(AI263)-1,-1),0)))</f>
        <v/>
      </c>
      <c r="AJ264" s="116">
        <f>IF(Z264="","",IFERROR(Z264/('Paramètres'!$C$9+SUM($X$5:X263)),""))</f>
        <v/>
      </c>
      <c r="AK264" s="109">
        <f>IF(AC264="Ouvert",COUNTIF($AC$6:AC264,"Ouvert"),"")</f>
        <v/>
      </c>
    </row>
    <row r="265" ht="19" customHeight="1">
      <c r="A265" s="104">
        <f>IF(B265="","",ROW()-5)</f>
        <v/>
      </c>
      <c r="B265" s="61" t="n"/>
      <c r="C265" s="61" t="n"/>
      <c r="D265" s="105" t="n"/>
      <c r="E265" s="49" t="n"/>
      <c r="F265" s="105" t="n"/>
      <c r="G265" s="49" t="n"/>
      <c r="H265" s="106" t="n"/>
      <c r="I265" s="107" t="n"/>
      <c r="J265" s="107" t="n"/>
      <c r="K265" s="107" t="n"/>
      <c r="L265" s="107" t="n"/>
      <c r="M265" s="106" t="n"/>
      <c r="N265" s="62" t="n"/>
      <c r="O265" s="49" t="n"/>
      <c r="P265" s="49" t="n"/>
      <c r="Q265" s="105" t="n"/>
      <c r="R265" s="105" t="n"/>
      <c r="S265" s="105" t="n"/>
      <c r="T265" s="105" t="n"/>
      <c r="U265" s="108">
        <f>IF(OR(H265="",I265="",I265=0),"",H265/I265)</f>
        <v/>
      </c>
      <c r="V265" s="109">
        <f>IF(OR(B265="",C265="",L265=""),"",MAX(0,C265-B265))</f>
        <v/>
      </c>
      <c r="W265" s="110">
        <f>IF(OR(L265="",U265=""),"",IF(E265="Short",(I265-L265)*U265,(L265-I265)*U265))</f>
        <v/>
      </c>
      <c r="X265" s="110">
        <f>IF(W265="","",W265-IF(M265="",0,M265))</f>
        <v/>
      </c>
      <c r="Y265" s="111">
        <f>IF(OR(X265="",H265="",H265=0),"",X265/H265)</f>
        <v/>
      </c>
      <c r="Z265" s="112">
        <f>IF(OR(I265="",J265="",U265=""),"",ABS(I265-J265)*U265)</f>
        <v/>
      </c>
      <c r="AA265" s="113">
        <f>IF(OR(X265="",Z265="",Z265=0),"",X265/Z265)</f>
        <v/>
      </c>
      <c r="AB265" s="114">
        <f>IF(OR(I265="",J265="",K265="",I265=J265),"",ABS(K265-I265)/ABS(I265-J265))</f>
        <v/>
      </c>
      <c r="AC265" s="51">
        <f>IF(OR(B265="",D265="",H265="",I265=""),"",IF(L265="","Ouvert",IF(X265&gt;0,"Gagné",IF(X265&lt;0,"Perdu","Neutre"))))</f>
        <v/>
      </c>
      <c r="AD265" s="115">
        <f>IF(X265="","",IF(C265="",B265,C265))</f>
        <v/>
      </c>
      <c r="AE265" s="109">
        <f>IF(B265="","",WEEKDAY(B265,2))</f>
        <v/>
      </c>
      <c r="AF265" s="112">
        <f>IF(X265="","",'Paramètres'!$C$9+SUM($X$6:X265))</f>
        <v/>
      </c>
      <c r="AG265" s="112">
        <f>IF(AF265="","",MAX('Paramètres'!$C$9,MAX($AF$6:AF265)))</f>
        <v/>
      </c>
      <c r="AH265" s="116">
        <f>IF(AF265="","",AF265/AG265-1)</f>
        <v/>
      </c>
      <c r="AI265" s="109">
        <f>IF(X265="","",IF(X265&gt;0,IF(N(AI264)&gt;0,N(AI264)+1,1),IF(X265&lt;0,IF(N(AI264)&lt;0,N(AI264)-1,-1),0)))</f>
        <v/>
      </c>
      <c r="AJ265" s="116">
        <f>IF(Z265="","",IFERROR(Z265/('Paramètres'!$C$9+SUM($X$5:X264)),""))</f>
        <v/>
      </c>
      <c r="AK265" s="109">
        <f>IF(AC265="Ouvert",COUNTIF($AC$6:AC265,"Ouvert"),"")</f>
        <v/>
      </c>
    </row>
    <row r="266" ht="19" customHeight="1">
      <c r="A266" s="104">
        <f>IF(B266="","",ROW()-5)</f>
        <v/>
      </c>
      <c r="B266" s="61" t="n"/>
      <c r="C266" s="61" t="n"/>
      <c r="D266" s="105" t="n"/>
      <c r="E266" s="49" t="n"/>
      <c r="F266" s="105" t="n"/>
      <c r="G266" s="49" t="n"/>
      <c r="H266" s="106" t="n"/>
      <c r="I266" s="107" t="n"/>
      <c r="J266" s="107" t="n"/>
      <c r="K266" s="107" t="n"/>
      <c r="L266" s="107" t="n"/>
      <c r="M266" s="106" t="n"/>
      <c r="N266" s="62" t="n"/>
      <c r="O266" s="49" t="n"/>
      <c r="P266" s="49" t="n"/>
      <c r="Q266" s="105" t="n"/>
      <c r="R266" s="105" t="n"/>
      <c r="S266" s="105" t="n"/>
      <c r="T266" s="105" t="n"/>
      <c r="U266" s="108">
        <f>IF(OR(H266="",I266="",I266=0),"",H266/I266)</f>
        <v/>
      </c>
      <c r="V266" s="109">
        <f>IF(OR(B266="",C266="",L266=""),"",MAX(0,C266-B266))</f>
        <v/>
      </c>
      <c r="W266" s="110">
        <f>IF(OR(L266="",U266=""),"",IF(E266="Short",(I266-L266)*U266,(L266-I266)*U266))</f>
        <v/>
      </c>
      <c r="X266" s="110">
        <f>IF(W266="","",W266-IF(M266="",0,M266))</f>
        <v/>
      </c>
      <c r="Y266" s="111">
        <f>IF(OR(X266="",H266="",H266=0),"",X266/H266)</f>
        <v/>
      </c>
      <c r="Z266" s="112">
        <f>IF(OR(I266="",J266="",U266=""),"",ABS(I266-J266)*U266)</f>
        <v/>
      </c>
      <c r="AA266" s="113">
        <f>IF(OR(X266="",Z266="",Z266=0),"",X266/Z266)</f>
        <v/>
      </c>
      <c r="AB266" s="114">
        <f>IF(OR(I266="",J266="",K266="",I266=J266),"",ABS(K266-I266)/ABS(I266-J266))</f>
        <v/>
      </c>
      <c r="AC266" s="51">
        <f>IF(OR(B266="",D266="",H266="",I266=""),"",IF(L266="","Ouvert",IF(X266&gt;0,"Gagné",IF(X266&lt;0,"Perdu","Neutre"))))</f>
        <v/>
      </c>
      <c r="AD266" s="115">
        <f>IF(X266="","",IF(C266="",B266,C266))</f>
        <v/>
      </c>
      <c r="AE266" s="109">
        <f>IF(B266="","",WEEKDAY(B266,2))</f>
        <v/>
      </c>
      <c r="AF266" s="112">
        <f>IF(X266="","",'Paramètres'!$C$9+SUM($X$6:X266))</f>
        <v/>
      </c>
      <c r="AG266" s="112">
        <f>IF(AF266="","",MAX('Paramètres'!$C$9,MAX($AF$6:AF266)))</f>
        <v/>
      </c>
      <c r="AH266" s="116">
        <f>IF(AF266="","",AF266/AG266-1)</f>
        <v/>
      </c>
      <c r="AI266" s="109">
        <f>IF(X266="","",IF(X266&gt;0,IF(N(AI265)&gt;0,N(AI265)+1,1),IF(X266&lt;0,IF(N(AI265)&lt;0,N(AI265)-1,-1),0)))</f>
        <v/>
      </c>
      <c r="AJ266" s="116">
        <f>IF(Z266="","",IFERROR(Z266/('Paramètres'!$C$9+SUM($X$5:X265)),""))</f>
        <v/>
      </c>
      <c r="AK266" s="109">
        <f>IF(AC266="Ouvert",COUNTIF($AC$6:AC266,"Ouvert"),"")</f>
        <v/>
      </c>
    </row>
    <row r="267" ht="19" customHeight="1">
      <c r="A267" s="104">
        <f>IF(B267="","",ROW()-5)</f>
        <v/>
      </c>
      <c r="B267" s="61" t="n"/>
      <c r="C267" s="61" t="n"/>
      <c r="D267" s="105" t="n"/>
      <c r="E267" s="49" t="n"/>
      <c r="F267" s="105" t="n"/>
      <c r="G267" s="49" t="n"/>
      <c r="H267" s="106" t="n"/>
      <c r="I267" s="107" t="n"/>
      <c r="J267" s="107" t="n"/>
      <c r="K267" s="107" t="n"/>
      <c r="L267" s="107" t="n"/>
      <c r="M267" s="106" t="n"/>
      <c r="N267" s="62" t="n"/>
      <c r="O267" s="49" t="n"/>
      <c r="P267" s="49" t="n"/>
      <c r="Q267" s="105" t="n"/>
      <c r="R267" s="105" t="n"/>
      <c r="S267" s="105" t="n"/>
      <c r="T267" s="105" t="n"/>
      <c r="U267" s="108">
        <f>IF(OR(H267="",I267="",I267=0),"",H267/I267)</f>
        <v/>
      </c>
      <c r="V267" s="109">
        <f>IF(OR(B267="",C267="",L267=""),"",MAX(0,C267-B267))</f>
        <v/>
      </c>
      <c r="W267" s="110">
        <f>IF(OR(L267="",U267=""),"",IF(E267="Short",(I267-L267)*U267,(L267-I267)*U267))</f>
        <v/>
      </c>
      <c r="X267" s="110">
        <f>IF(W267="","",W267-IF(M267="",0,M267))</f>
        <v/>
      </c>
      <c r="Y267" s="111">
        <f>IF(OR(X267="",H267="",H267=0),"",X267/H267)</f>
        <v/>
      </c>
      <c r="Z267" s="112">
        <f>IF(OR(I267="",J267="",U267=""),"",ABS(I267-J267)*U267)</f>
        <v/>
      </c>
      <c r="AA267" s="113">
        <f>IF(OR(X267="",Z267="",Z267=0),"",X267/Z267)</f>
        <v/>
      </c>
      <c r="AB267" s="114">
        <f>IF(OR(I267="",J267="",K267="",I267=J267),"",ABS(K267-I267)/ABS(I267-J267))</f>
        <v/>
      </c>
      <c r="AC267" s="51">
        <f>IF(OR(B267="",D267="",H267="",I267=""),"",IF(L267="","Ouvert",IF(X267&gt;0,"Gagné",IF(X267&lt;0,"Perdu","Neutre"))))</f>
        <v/>
      </c>
      <c r="AD267" s="115">
        <f>IF(X267="","",IF(C267="",B267,C267))</f>
        <v/>
      </c>
      <c r="AE267" s="109">
        <f>IF(B267="","",WEEKDAY(B267,2))</f>
        <v/>
      </c>
      <c r="AF267" s="112">
        <f>IF(X267="","",'Paramètres'!$C$9+SUM($X$6:X267))</f>
        <v/>
      </c>
      <c r="AG267" s="112">
        <f>IF(AF267="","",MAX('Paramètres'!$C$9,MAX($AF$6:AF267)))</f>
        <v/>
      </c>
      <c r="AH267" s="116">
        <f>IF(AF267="","",AF267/AG267-1)</f>
        <v/>
      </c>
      <c r="AI267" s="109">
        <f>IF(X267="","",IF(X267&gt;0,IF(N(AI266)&gt;0,N(AI266)+1,1),IF(X267&lt;0,IF(N(AI266)&lt;0,N(AI266)-1,-1),0)))</f>
        <v/>
      </c>
      <c r="AJ267" s="116">
        <f>IF(Z267="","",IFERROR(Z267/('Paramètres'!$C$9+SUM($X$5:X266)),""))</f>
        <v/>
      </c>
      <c r="AK267" s="109">
        <f>IF(AC267="Ouvert",COUNTIF($AC$6:AC267,"Ouvert"),"")</f>
        <v/>
      </c>
    </row>
    <row r="268" ht="19" customHeight="1">
      <c r="A268" s="104">
        <f>IF(B268="","",ROW()-5)</f>
        <v/>
      </c>
      <c r="B268" s="61" t="n"/>
      <c r="C268" s="61" t="n"/>
      <c r="D268" s="105" t="n"/>
      <c r="E268" s="49" t="n"/>
      <c r="F268" s="105" t="n"/>
      <c r="G268" s="49" t="n"/>
      <c r="H268" s="106" t="n"/>
      <c r="I268" s="107" t="n"/>
      <c r="J268" s="107" t="n"/>
      <c r="K268" s="107" t="n"/>
      <c r="L268" s="107" t="n"/>
      <c r="M268" s="106" t="n"/>
      <c r="N268" s="62" t="n"/>
      <c r="O268" s="49" t="n"/>
      <c r="P268" s="49" t="n"/>
      <c r="Q268" s="105" t="n"/>
      <c r="R268" s="105" t="n"/>
      <c r="S268" s="105" t="n"/>
      <c r="T268" s="105" t="n"/>
      <c r="U268" s="108">
        <f>IF(OR(H268="",I268="",I268=0),"",H268/I268)</f>
        <v/>
      </c>
      <c r="V268" s="109">
        <f>IF(OR(B268="",C268="",L268=""),"",MAX(0,C268-B268))</f>
        <v/>
      </c>
      <c r="W268" s="110">
        <f>IF(OR(L268="",U268=""),"",IF(E268="Short",(I268-L268)*U268,(L268-I268)*U268))</f>
        <v/>
      </c>
      <c r="X268" s="110">
        <f>IF(W268="","",W268-IF(M268="",0,M268))</f>
        <v/>
      </c>
      <c r="Y268" s="111">
        <f>IF(OR(X268="",H268="",H268=0),"",X268/H268)</f>
        <v/>
      </c>
      <c r="Z268" s="112">
        <f>IF(OR(I268="",J268="",U268=""),"",ABS(I268-J268)*U268)</f>
        <v/>
      </c>
      <c r="AA268" s="113">
        <f>IF(OR(X268="",Z268="",Z268=0),"",X268/Z268)</f>
        <v/>
      </c>
      <c r="AB268" s="114">
        <f>IF(OR(I268="",J268="",K268="",I268=J268),"",ABS(K268-I268)/ABS(I268-J268))</f>
        <v/>
      </c>
      <c r="AC268" s="51">
        <f>IF(OR(B268="",D268="",H268="",I268=""),"",IF(L268="","Ouvert",IF(X268&gt;0,"Gagné",IF(X268&lt;0,"Perdu","Neutre"))))</f>
        <v/>
      </c>
      <c r="AD268" s="115">
        <f>IF(X268="","",IF(C268="",B268,C268))</f>
        <v/>
      </c>
      <c r="AE268" s="109">
        <f>IF(B268="","",WEEKDAY(B268,2))</f>
        <v/>
      </c>
      <c r="AF268" s="112">
        <f>IF(X268="","",'Paramètres'!$C$9+SUM($X$6:X268))</f>
        <v/>
      </c>
      <c r="AG268" s="112">
        <f>IF(AF268="","",MAX('Paramètres'!$C$9,MAX($AF$6:AF268)))</f>
        <v/>
      </c>
      <c r="AH268" s="116">
        <f>IF(AF268="","",AF268/AG268-1)</f>
        <v/>
      </c>
      <c r="AI268" s="109">
        <f>IF(X268="","",IF(X268&gt;0,IF(N(AI267)&gt;0,N(AI267)+1,1),IF(X268&lt;0,IF(N(AI267)&lt;0,N(AI267)-1,-1),0)))</f>
        <v/>
      </c>
      <c r="AJ268" s="116">
        <f>IF(Z268="","",IFERROR(Z268/('Paramètres'!$C$9+SUM($X$5:X267)),""))</f>
        <v/>
      </c>
      <c r="AK268" s="109">
        <f>IF(AC268="Ouvert",COUNTIF($AC$6:AC268,"Ouvert"),"")</f>
        <v/>
      </c>
    </row>
    <row r="269" ht="19" customHeight="1">
      <c r="A269" s="104">
        <f>IF(B269="","",ROW()-5)</f>
        <v/>
      </c>
      <c r="B269" s="61" t="n"/>
      <c r="C269" s="61" t="n"/>
      <c r="D269" s="105" t="n"/>
      <c r="E269" s="49" t="n"/>
      <c r="F269" s="105" t="n"/>
      <c r="G269" s="49" t="n"/>
      <c r="H269" s="106" t="n"/>
      <c r="I269" s="107" t="n"/>
      <c r="J269" s="107" t="n"/>
      <c r="K269" s="107" t="n"/>
      <c r="L269" s="107" t="n"/>
      <c r="M269" s="106" t="n"/>
      <c r="N269" s="62" t="n"/>
      <c r="O269" s="49" t="n"/>
      <c r="P269" s="49" t="n"/>
      <c r="Q269" s="105" t="n"/>
      <c r="R269" s="105" t="n"/>
      <c r="S269" s="105" t="n"/>
      <c r="T269" s="105" t="n"/>
      <c r="U269" s="108">
        <f>IF(OR(H269="",I269="",I269=0),"",H269/I269)</f>
        <v/>
      </c>
      <c r="V269" s="109">
        <f>IF(OR(B269="",C269="",L269=""),"",MAX(0,C269-B269))</f>
        <v/>
      </c>
      <c r="W269" s="110">
        <f>IF(OR(L269="",U269=""),"",IF(E269="Short",(I269-L269)*U269,(L269-I269)*U269))</f>
        <v/>
      </c>
      <c r="X269" s="110">
        <f>IF(W269="","",W269-IF(M269="",0,M269))</f>
        <v/>
      </c>
      <c r="Y269" s="111">
        <f>IF(OR(X269="",H269="",H269=0),"",X269/H269)</f>
        <v/>
      </c>
      <c r="Z269" s="112">
        <f>IF(OR(I269="",J269="",U269=""),"",ABS(I269-J269)*U269)</f>
        <v/>
      </c>
      <c r="AA269" s="113">
        <f>IF(OR(X269="",Z269="",Z269=0),"",X269/Z269)</f>
        <v/>
      </c>
      <c r="AB269" s="114">
        <f>IF(OR(I269="",J269="",K269="",I269=J269),"",ABS(K269-I269)/ABS(I269-J269))</f>
        <v/>
      </c>
      <c r="AC269" s="51">
        <f>IF(OR(B269="",D269="",H269="",I269=""),"",IF(L269="","Ouvert",IF(X269&gt;0,"Gagné",IF(X269&lt;0,"Perdu","Neutre"))))</f>
        <v/>
      </c>
      <c r="AD269" s="115">
        <f>IF(X269="","",IF(C269="",B269,C269))</f>
        <v/>
      </c>
      <c r="AE269" s="109">
        <f>IF(B269="","",WEEKDAY(B269,2))</f>
        <v/>
      </c>
      <c r="AF269" s="112">
        <f>IF(X269="","",'Paramètres'!$C$9+SUM($X$6:X269))</f>
        <v/>
      </c>
      <c r="AG269" s="112">
        <f>IF(AF269="","",MAX('Paramètres'!$C$9,MAX($AF$6:AF269)))</f>
        <v/>
      </c>
      <c r="AH269" s="116">
        <f>IF(AF269="","",AF269/AG269-1)</f>
        <v/>
      </c>
      <c r="AI269" s="109">
        <f>IF(X269="","",IF(X269&gt;0,IF(N(AI268)&gt;0,N(AI268)+1,1),IF(X269&lt;0,IF(N(AI268)&lt;0,N(AI268)-1,-1),0)))</f>
        <v/>
      </c>
      <c r="AJ269" s="116">
        <f>IF(Z269="","",IFERROR(Z269/('Paramètres'!$C$9+SUM($X$5:X268)),""))</f>
        <v/>
      </c>
      <c r="AK269" s="109">
        <f>IF(AC269="Ouvert",COUNTIF($AC$6:AC269,"Ouvert"),"")</f>
        <v/>
      </c>
    </row>
    <row r="270" ht="19" customHeight="1">
      <c r="A270" s="104">
        <f>IF(B270="","",ROW()-5)</f>
        <v/>
      </c>
      <c r="B270" s="61" t="n"/>
      <c r="C270" s="61" t="n"/>
      <c r="D270" s="105" t="n"/>
      <c r="E270" s="49" t="n"/>
      <c r="F270" s="105" t="n"/>
      <c r="G270" s="49" t="n"/>
      <c r="H270" s="106" t="n"/>
      <c r="I270" s="107" t="n"/>
      <c r="J270" s="107" t="n"/>
      <c r="K270" s="107" t="n"/>
      <c r="L270" s="107" t="n"/>
      <c r="M270" s="106" t="n"/>
      <c r="N270" s="62" t="n"/>
      <c r="O270" s="49" t="n"/>
      <c r="P270" s="49" t="n"/>
      <c r="Q270" s="105" t="n"/>
      <c r="R270" s="105" t="n"/>
      <c r="S270" s="105" t="n"/>
      <c r="T270" s="105" t="n"/>
      <c r="U270" s="108">
        <f>IF(OR(H270="",I270="",I270=0),"",H270/I270)</f>
        <v/>
      </c>
      <c r="V270" s="109">
        <f>IF(OR(B270="",C270="",L270=""),"",MAX(0,C270-B270))</f>
        <v/>
      </c>
      <c r="W270" s="110">
        <f>IF(OR(L270="",U270=""),"",IF(E270="Short",(I270-L270)*U270,(L270-I270)*U270))</f>
        <v/>
      </c>
      <c r="X270" s="110">
        <f>IF(W270="","",W270-IF(M270="",0,M270))</f>
        <v/>
      </c>
      <c r="Y270" s="111">
        <f>IF(OR(X270="",H270="",H270=0),"",X270/H270)</f>
        <v/>
      </c>
      <c r="Z270" s="112">
        <f>IF(OR(I270="",J270="",U270=""),"",ABS(I270-J270)*U270)</f>
        <v/>
      </c>
      <c r="AA270" s="113">
        <f>IF(OR(X270="",Z270="",Z270=0),"",X270/Z270)</f>
        <v/>
      </c>
      <c r="AB270" s="114">
        <f>IF(OR(I270="",J270="",K270="",I270=J270),"",ABS(K270-I270)/ABS(I270-J270))</f>
        <v/>
      </c>
      <c r="AC270" s="51">
        <f>IF(OR(B270="",D270="",H270="",I270=""),"",IF(L270="","Ouvert",IF(X270&gt;0,"Gagné",IF(X270&lt;0,"Perdu","Neutre"))))</f>
        <v/>
      </c>
      <c r="AD270" s="115">
        <f>IF(X270="","",IF(C270="",B270,C270))</f>
        <v/>
      </c>
      <c r="AE270" s="109">
        <f>IF(B270="","",WEEKDAY(B270,2))</f>
        <v/>
      </c>
      <c r="AF270" s="112">
        <f>IF(X270="","",'Paramètres'!$C$9+SUM($X$6:X270))</f>
        <v/>
      </c>
      <c r="AG270" s="112">
        <f>IF(AF270="","",MAX('Paramètres'!$C$9,MAX($AF$6:AF270)))</f>
        <v/>
      </c>
      <c r="AH270" s="116">
        <f>IF(AF270="","",AF270/AG270-1)</f>
        <v/>
      </c>
      <c r="AI270" s="109">
        <f>IF(X270="","",IF(X270&gt;0,IF(N(AI269)&gt;0,N(AI269)+1,1),IF(X270&lt;0,IF(N(AI269)&lt;0,N(AI269)-1,-1),0)))</f>
        <v/>
      </c>
      <c r="AJ270" s="116">
        <f>IF(Z270="","",IFERROR(Z270/('Paramètres'!$C$9+SUM($X$5:X269)),""))</f>
        <v/>
      </c>
      <c r="AK270" s="109">
        <f>IF(AC270="Ouvert",COUNTIF($AC$6:AC270,"Ouvert"),"")</f>
        <v/>
      </c>
    </row>
    <row r="271" ht="19" customHeight="1">
      <c r="A271" s="104">
        <f>IF(B271="","",ROW()-5)</f>
        <v/>
      </c>
      <c r="B271" s="61" t="n"/>
      <c r="C271" s="61" t="n"/>
      <c r="D271" s="105" t="n"/>
      <c r="E271" s="49" t="n"/>
      <c r="F271" s="105" t="n"/>
      <c r="G271" s="49" t="n"/>
      <c r="H271" s="106" t="n"/>
      <c r="I271" s="107" t="n"/>
      <c r="J271" s="107" t="n"/>
      <c r="K271" s="107" t="n"/>
      <c r="L271" s="107" t="n"/>
      <c r="M271" s="106" t="n"/>
      <c r="N271" s="62" t="n"/>
      <c r="O271" s="49" t="n"/>
      <c r="P271" s="49" t="n"/>
      <c r="Q271" s="105" t="n"/>
      <c r="R271" s="105" t="n"/>
      <c r="S271" s="105" t="n"/>
      <c r="T271" s="105" t="n"/>
      <c r="U271" s="108">
        <f>IF(OR(H271="",I271="",I271=0),"",H271/I271)</f>
        <v/>
      </c>
      <c r="V271" s="109">
        <f>IF(OR(B271="",C271="",L271=""),"",MAX(0,C271-B271))</f>
        <v/>
      </c>
      <c r="W271" s="110">
        <f>IF(OR(L271="",U271=""),"",IF(E271="Short",(I271-L271)*U271,(L271-I271)*U271))</f>
        <v/>
      </c>
      <c r="X271" s="110">
        <f>IF(W271="","",W271-IF(M271="",0,M271))</f>
        <v/>
      </c>
      <c r="Y271" s="111">
        <f>IF(OR(X271="",H271="",H271=0),"",X271/H271)</f>
        <v/>
      </c>
      <c r="Z271" s="112">
        <f>IF(OR(I271="",J271="",U271=""),"",ABS(I271-J271)*U271)</f>
        <v/>
      </c>
      <c r="AA271" s="113">
        <f>IF(OR(X271="",Z271="",Z271=0),"",X271/Z271)</f>
        <v/>
      </c>
      <c r="AB271" s="114">
        <f>IF(OR(I271="",J271="",K271="",I271=J271),"",ABS(K271-I271)/ABS(I271-J271))</f>
        <v/>
      </c>
      <c r="AC271" s="51">
        <f>IF(OR(B271="",D271="",H271="",I271=""),"",IF(L271="","Ouvert",IF(X271&gt;0,"Gagné",IF(X271&lt;0,"Perdu","Neutre"))))</f>
        <v/>
      </c>
      <c r="AD271" s="115">
        <f>IF(X271="","",IF(C271="",B271,C271))</f>
        <v/>
      </c>
      <c r="AE271" s="109">
        <f>IF(B271="","",WEEKDAY(B271,2))</f>
        <v/>
      </c>
      <c r="AF271" s="112">
        <f>IF(X271="","",'Paramètres'!$C$9+SUM($X$6:X271))</f>
        <v/>
      </c>
      <c r="AG271" s="112">
        <f>IF(AF271="","",MAX('Paramètres'!$C$9,MAX($AF$6:AF271)))</f>
        <v/>
      </c>
      <c r="AH271" s="116">
        <f>IF(AF271="","",AF271/AG271-1)</f>
        <v/>
      </c>
      <c r="AI271" s="109">
        <f>IF(X271="","",IF(X271&gt;0,IF(N(AI270)&gt;0,N(AI270)+1,1),IF(X271&lt;0,IF(N(AI270)&lt;0,N(AI270)-1,-1),0)))</f>
        <v/>
      </c>
      <c r="AJ271" s="116">
        <f>IF(Z271="","",IFERROR(Z271/('Paramètres'!$C$9+SUM($X$5:X270)),""))</f>
        <v/>
      </c>
      <c r="AK271" s="109">
        <f>IF(AC271="Ouvert",COUNTIF($AC$6:AC271,"Ouvert"),"")</f>
        <v/>
      </c>
    </row>
    <row r="272" ht="19" customHeight="1">
      <c r="A272" s="104">
        <f>IF(B272="","",ROW()-5)</f>
        <v/>
      </c>
      <c r="B272" s="61" t="n"/>
      <c r="C272" s="61" t="n"/>
      <c r="D272" s="105" t="n"/>
      <c r="E272" s="49" t="n"/>
      <c r="F272" s="105" t="n"/>
      <c r="G272" s="49" t="n"/>
      <c r="H272" s="106" t="n"/>
      <c r="I272" s="107" t="n"/>
      <c r="J272" s="107" t="n"/>
      <c r="K272" s="107" t="n"/>
      <c r="L272" s="107" t="n"/>
      <c r="M272" s="106" t="n"/>
      <c r="N272" s="62" t="n"/>
      <c r="O272" s="49" t="n"/>
      <c r="P272" s="49" t="n"/>
      <c r="Q272" s="105" t="n"/>
      <c r="R272" s="105" t="n"/>
      <c r="S272" s="105" t="n"/>
      <c r="T272" s="105" t="n"/>
      <c r="U272" s="108">
        <f>IF(OR(H272="",I272="",I272=0),"",H272/I272)</f>
        <v/>
      </c>
      <c r="V272" s="109">
        <f>IF(OR(B272="",C272="",L272=""),"",MAX(0,C272-B272))</f>
        <v/>
      </c>
      <c r="W272" s="110">
        <f>IF(OR(L272="",U272=""),"",IF(E272="Short",(I272-L272)*U272,(L272-I272)*U272))</f>
        <v/>
      </c>
      <c r="X272" s="110">
        <f>IF(W272="","",W272-IF(M272="",0,M272))</f>
        <v/>
      </c>
      <c r="Y272" s="111">
        <f>IF(OR(X272="",H272="",H272=0),"",X272/H272)</f>
        <v/>
      </c>
      <c r="Z272" s="112">
        <f>IF(OR(I272="",J272="",U272=""),"",ABS(I272-J272)*U272)</f>
        <v/>
      </c>
      <c r="AA272" s="113">
        <f>IF(OR(X272="",Z272="",Z272=0),"",X272/Z272)</f>
        <v/>
      </c>
      <c r="AB272" s="114">
        <f>IF(OR(I272="",J272="",K272="",I272=J272),"",ABS(K272-I272)/ABS(I272-J272))</f>
        <v/>
      </c>
      <c r="AC272" s="51">
        <f>IF(OR(B272="",D272="",H272="",I272=""),"",IF(L272="","Ouvert",IF(X272&gt;0,"Gagné",IF(X272&lt;0,"Perdu","Neutre"))))</f>
        <v/>
      </c>
      <c r="AD272" s="115">
        <f>IF(X272="","",IF(C272="",B272,C272))</f>
        <v/>
      </c>
      <c r="AE272" s="109">
        <f>IF(B272="","",WEEKDAY(B272,2))</f>
        <v/>
      </c>
      <c r="AF272" s="112">
        <f>IF(X272="","",'Paramètres'!$C$9+SUM($X$6:X272))</f>
        <v/>
      </c>
      <c r="AG272" s="112">
        <f>IF(AF272="","",MAX('Paramètres'!$C$9,MAX($AF$6:AF272)))</f>
        <v/>
      </c>
      <c r="AH272" s="116">
        <f>IF(AF272="","",AF272/AG272-1)</f>
        <v/>
      </c>
      <c r="AI272" s="109">
        <f>IF(X272="","",IF(X272&gt;0,IF(N(AI271)&gt;0,N(AI271)+1,1),IF(X272&lt;0,IF(N(AI271)&lt;0,N(AI271)-1,-1),0)))</f>
        <v/>
      </c>
      <c r="AJ272" s="116">
        <f>IF(Z272="","",IFERROR(Z272/('Paramètres'!$C$9+SUM($X$5:X271)),""))</f>
        <v/>
      </c>
      <c r="AK272" s="109">
        <f>IF(AC272="Ouvert",COUNTIF($AC$6:AC272,"Ouvert"),"")</f>
        <v/>
      </c>
    </row>
    <row r="273" ht="19" customHeight="1">
      <c r="A273" s="104">
        <f>IF(B273="","",ROW()-5)</f>
        <v/>
      </c>
      <c r="B273" s="61" t="n"/>
      <c r="C273" s="61" t="n"/>
      <c r="D273" s="105" t="n"/>
      <c r="E273" s="49" t="n"/>
      <c r="F273" s="105" t="n"/>
      <c r="G273" s="49" t="n"/>
      <c r="H273" s="106" t="n"/>
      <c r="I273" s="107" t="n"/>
      <c r="J273" s="107" t="n"/>
      <c r="K273" s="107" t="n"/>
      <c r="L273" s="107" t="n"/>
      <c r="M273" s="106" t="n"/>
      <c r="N273" s="62" t="n"/>
      <c r="O273" s="49" t="n"/>
      <c r="P273" s="49" t="n"/>
      <c r="Q273" s="105" t="n"/>
      <c r="R273" s="105" t="n"/>
      <c r="S273" s="105" t="n"/>
      <c r="T273" s="105" t="n"/>
      <c r="U273" s="108">
        <f>IF(OR(H273="",I273="",I273=0),"",H273/I273)</f>
        <v/>
      </c>
      <c r="V273" s="109">
        <f>IF(OR(B273="",C273="",L273=""),"",MAX(0,C273-B273))</f>
        <v/>
      </c>
      <c r="W273" s="110">
        <f>IF(OR(L273="",U273=""),"",IF(E273="Short",(I273-L273)*U273,(L273-I273)*U273))</f>
        <v/>
      </c>
      <c r="X273" s="110">
        <f>IF(W273="","",W273-IF(M273="",0,M273))</f>
        <v/>
      </c>
      <c r="Y273" s="111">
        <f>IF(OR(X273="",H273="",H273=0),"",X273/H273)</f>
        <v/>
      </c>
      <c r="Z273" s="112">
        <f>IF(OR(I273="",J273="",U273=""),"",ABS(I273-J273)*U273)</f>
        <v/>
      </c>
      <c r="AA273" s="113">
        <f>IF(OR(X273="",Z273="",Z273=0),"",X273/Z273)</f>
        <v/>
      </c>
      <c r="AB273" s="114">
        <f>IF(OR(I273="",J273="",K273="",I273=J273),"",ABS(K273-I273)/ABS(I273-J273))</f>
        <v/>
      </c>
      <c r="AC273" s="51">
        <f>IF(OR(B273="",D273="",H273="",I273=""),"",IF(L273="","Ouvert",IF(X273&gt;0,"Gagné",IF(X273&lt;0,"Perdu","Neutre"))))</f>
        <v/>
      </c>
      <c r="AD273" s="115">
        <f>IF(X273="","",IF(C273="",B273,C273))</f>
        <v/>
      </c>
      <c r="AE273" s="109">
        <f>IF(B273="","",WEEKDAY(B273,2))</f>
        <v/>
      </c>
      <c r="AF273" s="112">
        <f>IF(X273="","",'Paramètres'!$C$9+SUM($X$6:X273))</f>
        <v/>
      </c>
      <c r="AG273" s="112">
        <f>IF(AF273="","",MAX('Paramètres'!$C$9,MAX($AF$6:AF273)))</f>
        <v/>
      </c>
      <c r="AH273" s="116">
        <f>IF(AF273="","",AF273/AG273-1)</f>
        <v/>
      </c>
      <c r="AI273" s="109">
        <f>IF(X273="","",IF(X273&gt;0,IF(N(AI272)&gt;0,N(AI272)+1,1),IF(X273&lt;0,IF(N(AI272)&lt;0,N(AI272)-1,-1),0)))</f>
        <v/>
      </c>
      <c r="AJ273" s="116">
        <f>IF(Z273="","",IFERROR(Z273/('Paramètres'!$C$9+SUM($X$5:X272)),""))</f>
        <v/>
      </c>
      <c r="AK273" s="109">
        <f>IF(AC273="Ouvert",COUNTIF($AC$6:AC273,"Ouvert"),"")</f>
        <v/>
      </c>
    </row>
    <row r="274" ht="19" customHeight="1">
      <c r="A274" s="104">
        <f>IF(B274="","",ROW()-5)</f>
        <v/>
      </c>
      <c r="B274" s="61" t="n"/>
      <c r="C274" s="61" t="n"/>
      <c r="D274" s="105" t="n"/>
      <c r="E274" s="49" t="n"/>
      <c r="F274" s="105" t="n"/>
      <c r="G274" s="49" t="n"/>
      <c r="H274" s="106" t="n"/>
      <c r="I274" s="107" t="n"/>
      <c r="J274" s="107" t="n"/>
      <c r="K274" s="107" t="n"/>
      <c r="L274" s="107" t="n"/>
      <c r="M274" s="106" t="n"/>
      <c r="N274" s="62" t="n"/>
      <c r="O274" s="49" t="n"/>
      <c r="P274" s="49" t="n"/>
      <c r="Q274" s="105" t="n"/>
      <c r="R274" s="105" t="n"/>
      <c r="S274" s="105" t="n"/>
      <c r="T274" s="105" t="n"/>
      <c r="U274" s="108">
        <f>IF(OR(H274="",I274="",I274=0),"",H274/I274)</f>
        <v/>
      </c>
      <c r="V274" s="109">
        <f>IF(OR(B274="",C274="",L274=""),"",MAX(0,C274-B274))</f>
        <v/>
      </c>
      <c r="W274" s="110">
        <f>IF(OR(L274="",U274=""),"",IF(E274="Short",(I274-L274)*U274,(L274-I274)*U274))</f>
        <v/>
      </c>
      <c r="X274" s="110">
        <f>IF(W274="","",W274-IF(M274="",0,M274))</f>
        <v/>
      </c>
      <c r="Y274" s="111">
        <f>IF(OR(X274="",H274="",H274=0),"",X274/H274)</f>
        <v/>
      </c>
      <c r="Z274" s="112">
        <f>IF(OR(I274="",J274="",U274=""),"",ABS(I274-J274)*U274)</f>
        <v/>
      </c>
      <c r="AA274" s="113">
        <f>IF(OR(X274="",Z274="",Z274=0),"",X274/Z274)</f>
        <v/>
      </c>
      <c r="AB274" s="114">
        <f>IF(OR(I274="",J274="",K274="",I274=J274),"",ABS(K274-I274)/ABS(I274-J274))</f>
        <v/>
      </c>
      <c r="AC274" s="51">
        <f>IF(OR(B274="",D274="",H274="",I274=""),"",IF(L274="","Ouvert",IF(X274&gt;0,"Gagné",IF(X274&lt;0,"Perdu","Neutre"))))</f>
        <v/>
      </c>
      <c r="AD274" s="115">
        <f>IF(X274="","",IF(C274="",B274,C274))</f>
        <v/>
      </c>
      <c r="AE274" s="109">
        <f>IF(B274="","",WEEKDAY(B274,2))</f>
        <v/>
      </c>
      <c r="AF274" s="112">
        <f>IF(X274="","",'Paramètres'!$C$9+SUM($X$6:X274))</f>
        <v/>
      </c>
      <c r="AG274" s="112">
        <f>IF(AF274="","",MAX('Paramètres'!$C$9,MAX($AF$6:AF274)))</f>
        <v/>
      </c>
      <c r="AH274" s="116">
        <f>IF(AF274="","",AF274/AG274-1)</f>
        <v/>
      </c>
      <c r="AI274" s="109">
        <f>IF(X274="","",IF(X274&gt;0,IF(N(AI273)&gt;0,N(AI273)+1,1),IF(X274&lt;0,IF(N(AI273)&lt;0,N(AI273)-1,-1),0)))</f>
        <v/>
      </c>
      <c r="AJ274" s="116">
        <f>IF(Z274="","",IFERROR(Z274/('Paramètres'!$C$9+SUM($X$5:X273)),""))</f>
        <v/>
      </c>
      <c r="AK274" s="109">
        <f>IF(AC274="Ouvert",COUNTIF($AC$6:AC274,"Ouvert"),"")</f>
        <v/>
      </c>
    </row>
    <row r="275" ht="19" customHeight="1">
      <c r="A275" s="104">
        <f>IF(B275="","",ROW()-5)</f>
        <v/>
      </c>
      <c r="B275" s="61" t="n"/>
      <c r="C275" s="61" t="n"/>
      <c r="D275" s="105" t="n"/>
      <c r="E275" s="49" t="n"/>
      <c r="F275" s="105" t="n"/>
      <c r="G275" s="49" t="n"/>
      <c r="H275" s="106" t="n"/>
      <c r="I275" s="107" t="n"/>
      <c r="J275" s="107" t="n"/>
      <c r="K275" s="107" t="n"/>
      <c r="L275" s="107" t="n"/>
      <c r="M275" s="106" t="n"/>
      <c r="N275" s="62" t="n"/>
      <c r="O275" s="49" t="n"/>
      <c r="P275" s="49" t="n"/>
      <c r="Q275" s="105" t="n"/>
      <c r="R275" s="105" t="n"/>
      <c r="S275" s="105" t="n"/>
      <c r="T275" s="105" t="n"/>
      <c r="U275" s="108">
        <f>IF(OR(H275="",I275="",I275=0),"",H275/I275)</f>
        <v/>
      </c>
      <c r="V275" s="109">
        <f>IF(OR(B275="",C275="",L275=""),"",MAX(0,C275-B275))</f>
        <v/>
      </c>
      <c r="W275" s="110">
        <f>IF(OR(L275="",U275=""),"",IF(E275="Short",(I275-L275)*U275,(L275-I275)*U275))</f>
        <v/>
      </c>
      <c r="X275" s="110">
        <f>IF(W275="","",W275-IF(M275="",0,M275))</f>
        <v/>
      </c>
      <c r="Y275" s="111">
        <f>IF(OR(X275="",H275="",H275=0),"",X275/H275)</f>
        <v/>
      </c>
      <c r="Z275" s="112">
        <f>IF(OR(I275="",J275="",U275=""),"",ABS(I275-J275)*U275)</f>
        <v/>
      </c>
      <c r="AA275" s="113">
        <f>IF(OR(X275="",Z275="",Z275=0),"",X275/Z275)</f>
        <v/>
      </c>
      <c r="AB275" s="114">
        <f>IF(OR(I275="",J275="",K275="",I275=J275),"",ABS(K275-I275)/ABS(I275-J275))</f>
        <v/>
      </c>
      <c r="AC275" s="51">
        <f>IF(OR(B275="",D275="",H275="",I275=""),"",IF(L275="","Ouvert",IF(X275&gt;0,"Gagné",IF(X275&lt;0,"Perdu","Neutre"))))</f>
        <v/>
      </c>
      <c r="AD275" s="115">
        <f>IF(X275="","",IF(C275="",B275,C275))</f>
        <v/>
      </c>
      <c r="AE275" s="109">
        <f>IF(B275="","",WEEKDAY(B275,2))</f>
        <v/>
      </c>
      <c r="AF275" s="112">
        <f>IF(X275="","",'Paramètres'!$C$9+SUM($X$6:X275))</f>
        <v/>
      </c>
      <c r="AG275" s="112">
        <f>IF(AF275="","",MAX('Paramètres'!$C$9,MAX($AF$6:AF275)))</f>
        <v/>
      </c>
      <c r="AH275" s="116">
        <f>IF(AF275="","",AF275/AG275-1)</f>
        <v/>
      </c>
      <c r="AI275" s="109">
        <f>IF(X275="","",IF(X275&gt;0,IF(N(AI274)&gt;0,N(AI274)+1,1),IF(X275&lt;0,IF(N(AI274)&lt;0,N(AI274)-1,-1),0)))</f>
        <v/>
      </c>
      <c r="AJ275" s="116">
        <f>IF(Z275="","",IFERROR(Z275/('Paramètres'!$C$9+SUM($X$5:X274)),""))</f>
        <v/>
      </c>
      <c r="AK275" s="109">
        <f>IF(AC275="Ouvert",COUNTIF($AC$6:AC275,"Ouvert"),"")</f>
        <v/>
      </c>
    </row>
    <row r="276" ht="19" customHeight="1">
      <c r="A276" s="104">
        <f>IF(B276="","",ROW()-5)</f>
        <v/>
      </c>
      <c r="B276" s="61" t="n"/>
      <c r="C276" s="61" t="n"/>
      <c r="D276" s="105" t="n"/>
      <c r="E276" s="49" t="n"/>
      <c r="F276" s="105" t="n"/>
      <c r="G276" s="49" t="n"/>
      <c r="H276" s="106" t="n"/>
      <c r="I276" s="107" t="n"/>
      <c r="J276" s="107" t="n"/>
      <c r="K276" s="107" t="n"/>
      <c r="L276" s="107" t="n"/>
      <c r="M276" s="106" t="n"/>
      <c r="N276" s="62" t="n"/>
      <c r="O276" s="49" t="n"/>
      <c r="P276" s="49" t="n"/>
      <c r="Q276" s="105" t="n"/>
      <c r="R276" s="105" t="n"/>
      <c r="S276" s="105" t="n"/>
      <c r="T276" s="105" t="n"/>
      <c r="U276" s="108">
        <f>IF(OR(H276="",I276="",I276=0),"",H276/I276)</f>
        <v/>
      </c>
      <c r="V276" s="109">
        <f>IF(OR(B276="",C276="",L276=""),"",MAX(0,C276-B276))</f>
        <v/>
      </c>
      <c r="W276" s="110">
        <f>IF(OR(L276="",U276=""),"",IF(E276="Short",(I276-L276)*U276,(L276-I276)*U276))</f>
        <v/>
      </c>
      <c r="X276" s="110">
        <f>IF(W276="","",W276-IF(M276="",0,M276))</f>
        <v/>
      </c>
      <c r="Y276" s="111">
        <f>IF(OR(X276="",H276="",H276=0),"",X276/H276)</f>
        <v/>
      </c>
      <c r="Z276" s="112">
        <f>IF(OR(I276="",J276="",U276=""),"",ABS(I276-J276)*U276)</f>
        <v/>
      </c>
      <c r="AA276" s="113">
        <f>IF(OR(X276="",Z276="",Z276=0),"",X276/Z276)</f>
        <v/>
      </c>
      <c r="AB276" s="114">
        <f>IF(OR(I276="",J276="",K276="",I276=J276),"",ABS(K276-I276)/ABS(I276-J276))</f>
        <v/>
      </c>
      <c r="AC276" s="51">
        <f>IF(OR(B276="",D276="",H276="",I276=""),"",IF(L276="","Ouvert",IF(X276&gt;0,"Gagné",IF(X276&lt;0,"Perdu","Neutre"))))</f>
        <v/>
      </c>
      <c r="AD276" s="115">
        <f>IF(X276="","",IF(C276="",B276,C276))</f>
        <v/>
      </c>
      <c r="AE276" s="109">
        <f>IF(B276="","",WEEKDAY(B276,2))</f>
        <v/>
      </c>
      <c r="AF276" s="112">
        <f>IF(X276="","",'Paramètres'!$C$9+SUM($X$6:X276))</f>
        <v/>
      </c>
      <c r="AG276" s="112">
        <f>IF(AF276="","",MAX('Paramètres'!$C$9,MAX($AF$6:AF276)))</f>
        <v/>
      </c>
      <c r="AH276" s="116">
        <f>IF(AF276="","",AF276/AG276-1)</f>
        <v/>
      </c>
      <c r="AI276" s="109">
        <f>IF(X276="","",IF(X276&gt;0,IF(N(AI275)&gt;0,N(AI275)+1,1),IF(X276&lt;0,IF(N(AI275)&lt;0,N(AI275)-1,-1),0)))</f>
        <v/>
      </c>
      <c r="AJ276" s="116">
        <f>IF(Z276="","",IFERROR(Z276/('Paramètres'!$C$9+SUM($X$5:X275)),""))</f>
        <v/>
      </c>
      <c r="AK276" s="109">
        <f>IF(AC276="Ouvert",COUNTIF($AC$6:AC276,"Ouvert"),"")</f>
        <v/>
      </c>
    </row>
    <row r="277" ht="19" customHeight="1">
      <c r="A277" s="104">
        <f>IF(B277="","",ROW()-5)</f>
        <v/>
      </c>
      <c r="B277" s="61" t="n"/>
      <c r="C277" s="61" t="n"/>
      <c r="D277" s="105" t="n"/>
      <c r="E277" s="49" t="n"/>
      <c r="F277" s="105" t="n"/>
      <c r="G277" s="49" t="n"/>
      <c r="H277" s="106" t="n"/>
      <c r="I277" s="107" t="n"/>
      <c r="J277" s="107" t="n"/>
      <c r="K277" s="107" t="n"/>
      <c r="L277" s="107" t="n"/>
      <c r="M277" s="106" t="n"/>
      <c r="N277" s="62" t="n"/>
      <c r="O277" s="49" t="n"/>
      <c r="P277" s="49" t="n"/>
      <c r="Q277" s="105" t="n"/>
      <c r="R277" s="105" t="n"/>
      <c r="S277" s="105" t="n"/>
      <c r="T277" s="105" t="n"/>
      <c r="U277" s="108">
        <f>IF(OR(H277="",I277="",I277=0),"",H277/I277)</f>
        <v/>
      </c>
      <c r="V277" s="109">
        <f>IF(OR(B277="",C277="",L277=""),"",MAX(0,C277-B277))</f>
        <v/>
      </c>
      <c r="W277" s="110">
        <f>IF(OR(L277="",U277=""),"",IF(E277="Short",(I277-L277)*U277,(L277-I277)*U277))</f>
        <v/>
      </c>
      <c r="X277" s="110">
        <f>IF(W277="","",W277-IF(M277="",0,M277))</f>
        <v/>
      </c>
      <c r="Y277" s="111">
        <f>IF(OR(X277="",H277="",H277=0),"",X277/H277)</f>
        <v/>
      </c>
      <c r="Z277" s="112">
        <f>IF(OR(I277="",J277="",U277=""),"",ABS(I277-J277)*U277)</f>
        <v/>
      </c>
      <c r="AA277" s="113">
        <f>IF(OR(X277="",Z277="",Z277=0),"",X277/Z277)</f>
        <v/>
      </c>
      <c r="AB277" s="114">
        <f>IF(OR(I277="",J277="",K277="",I277=J277),"",ABS(K277-I277)/ABS(I277-J277))</f>
        <v/>
      </c>
      <c r="AC277" s="51">
        <f>IF(OR(B277="",D277="",H277="",I277=""),"",IF(L277="","Ouvert",IF(X277&gt;0,"Gagné",IF(X277&lt;0,"Perdu","Neutre"))))</f>
        <v/>
      </c>
      <c r="AD277" s="115">
        <f>IF(X277="","",IF(C277="",B277,C277))</f>
        <v/>
      </c>
      <c r="AE277" s="109">
        <f>IF(B277="","",WEEKDAY(B277,2))</f>
        <v/>
      </c>
      <c r="AF277" s="112">
        <f>IF(X277="","",'Paramètres'!$C$9+SUM($X$6:X277))</f>
        <v/>
      </c>
      <c r="AG277" s="112">
        <f>IF(AF277="","",MAX('Paramètres'!$C$9,MAX($AF$6:AF277)))</f>
        <v/>
      </c>
      <c r="AH277" s="116">
        <f>IF(AF277="","",AF277/AG277-1)</f>
        <v/>
      </c>
      <c r="AI277" s="109">
        <f>IF(X277="","",IF(X277&gt;0,IF(N(AI276)&gt;0,N(AI276)+1,1),IF(X277&lt;0,IF(N(AI276)&lt;0,N(AI276)-1,-1),0)))</f>
        <v/>
      </c>
      <c r="AJ277" s="116">
        <f>IF(Z277="","",IFERROR(Z277/('Paramètres'!$C$9+SUM($X$5:X276)),""))</f>
        <v/>
      </c>
      <c r="AK277" s="109">
        <f>IF(AC277="Ouvert",COUNTIF($AC$6:AC277,"Ouvert"),"")</f>
        <v/>
      </c>
    </row>
    <row r="278" ht="19" customHeight="1">
      <c r="A278" s="104">
        <f>IF(B278="","",ROW()-5)</f>
        <v/>
      </c>
      <c r="B278" s="61" t="n"/>
      <c r="C278" s="61" t="n"/>
      <c r="D278" s="105" t="n"/>
      <c r="E278" s="49" t="n"/>
      <c r="F278" s="105" t="n"/>
      <c r="G278" s="49" t="n"/>
      <c r="H278" s="106" t="n"/>
      <c r="I278" s="107" t="n"/>
      <c r="J278" s="107" t="n"/>
      <c r="K278" s="107" t="n"/>
      <c r="L278" s="107" t="n"/>
      <c r="M278" s="106" t="n"/>
      <c r="N278" s="62" t="n"/>
      <c r="O278" s="49" t="n"/>
      <c r="P278" s="49" t="n"/>
      <c r="Q278" s="105" t="n"/>
      <c r="R278" s="105" t="n"/>
      <c r="S278" s="105" t="n"/>
      <c r="T278" s="105" t="n"/>
      <c r="U278" s="108">
        <f>IF(OR(H278="",I278="",I278=0),"",H278/I278)</f>
        <v/>
      </c>
      <c r="V278" s="109">
        <f>IF(OR(B278="",C278="",L278=""),"",MAX(0,C278-B278))</f>
        <v/>
      </c>
      <c r="W278" s="110">
        <f>IF(OR(L278="",U278=""),"",IF(E278="Short",(I278-L278)*U278,(L278-I278)*U278))</f>
        <v/>
      </c>
      <c r="X278" s="110">
        <f>IF(W278="","",W278-IF(M278="",0,M278))</f>
        <v/>
      </c>
      <c r="Y278" s="111">
        <f>IF(OR(X278="",H278="",H278=0),"",X278/H278)</f>
        <v/>
      </c>
      <c r="Z278" s="112">
        <f>IF(OR(I278="",J278="",U278=""),"",ABS(I278-J278)*U278)</f>
        <v/>
      </c>
      <c r="AA278" s="113">
        <f>IF(OR(X278="",Z278="",Z278=0),"",X278/Z278)</f>
        <v/>
      </c>
      <c r="AB278" s="114">
        <f>IF(OR(I278="",J278="",K278="",I278=J278),"",ABS(K278-I278)/ABS(I278-J278))</f>
        <v/>
      </c>
      <c r="AC278" s="51">
        <f>IF(OR(B278="",D278="",H278="",I278=""),"",IF(L278="","Ouvert",IF(X278&gt;0,"Gagné",IF(X278&lt;0,"Perdu","Neutre"))))</f>
        <v/>
      </c>
      <c r="AD278" s="115">
        <f>IF(X278="","",IF(C278="",B278,C278))</f>
        <v/>
      </c>
      <c r="AE278" s="109">
        <f>IF(B278="","",WEEKDAY(B278,2))</f>
        <v/>
      </c>
      <c r="AF278" s="112">
        <f>IF(X278="","",'Paramètres'!$C$9+SUM($X$6:X278))</f>
        <v/>
      </c>
      <c r="AG278" s="112">
        <f>IF(AF278="","",MAX('Paramètres'!$C$9,MAX($AF$6:AF278)))</f>
        <v/>
      </c>
      <c r="AH278" s="116">
        <f>IF(AF278="","",AF278/AG278-1)</f>
        <v/>
      </c>
      <c r="AI278" s="109">
        <f>IF(X278="","",IF(X278&gt;0,IF(N(AI277)&gt;0,N(AI277)+1,1),IF(X278&lt;0,IF(N(AI277)&lt;0,N(AI277)-1,-1),0)))</f>
        <v/>
      </c>
      <c r="AJ278" s="116">
        <f>IF(Z278="","",IFERROR(Z278/('Paramètres'!$C$9+SUM($X$5:X277)),""))</f>
        <v/>
      </c>
      <c r="AK278" s="109">
        <f>IF(AC278="Ouvert",COUNTIF($AC$6:AC278,"Ouvert"),"")</f>
        <v/>
      </c>
    </row>
    <row r="279" ht="19" customHeight="1">
      <c r="A279" s="104">
        <f>IF(B279="","",ROW()-5)</f>
        <v/>
      </c>
      <c r="B279" s="61" t="n"/>
      <c r="C279" s="61" t="n"/>
      <c r="D279" s="105" t="n"/>
      <c r="E279" s="49" t="n"/>
      <c r="F279" s="105" t="n"/>
      <c r="G279" s="49" t="n"/>
      <c r="H279" s="106" t="n"/>
      <c r="I279" s="107" t="n"/>
      <c r="J279" s="107" t="n"/>
      <c r="K279" s="107" t="n"/>
      <c r="L279" s="107" t="n"/>
      <c r="M279" s="106" t="n"/>
      <c r="N279" s="62" t="n"/>
      <c r="O279" s="49" t="n"/>
      <c r="P279" s="49" t="n"/>
      <c r="Q279" s="105" t="n"/>
      <c r="R279" s="105" t="n"/>
      <c r="S279" s="105" t="n"/>
      <c r="T279" s="105" t="n"/>
      <c r="U279" s="108">
        <f>IF(OR(H279="",I279="",I279=0),"",H279/I279)</f>
        <v/>
      </c>
      <c r="V279" s="109">
        <f>IF(OR(B279="",C279="",L279=""),"",MAX(0,C279-B279))</f>
        <v/>
      </c>
      <c r="W279" s="110">
        <f>IF(OR(L279="",U279=""),"",IF(E279="Short",(I279-L279)*U279,(L279-I279)*U279))</f>
        <v/>
      </c>
      <c r="X279" s="110">
        <f>IF(W279="","",W279-IF(M279="",0,M279))</f>
        <v/>
      </c>
      <c r="Y279" s="111">
        <f>IF(OR(X279="",H279="",H279=0),"",X279/H279)</f>
        <v/>
      </c>
      <c r="Z279" s="112">
        <f>IF(OR(I279="",J279="",U279=""),"",ABS(I279-J279)*U279)</f>
        <v/>
      </c>
      <c r="AA279" s="113">
        <f>IF(OR(X279="",Z279="",Z279=0),"",X279/Z279)</f>
        <v/>
      </c>
      <c r="AB279" s="114">
        <f>IF(OR(I279="",J279="",K279="",I279=J279),"",ABS(K279-I279)/ABS(I279-J279))</f>
        <v/>
      </c>
      <c r="AC279" s="51">
        <f>IF(OR(B279="",D279="",H279="",I279=""),"",IF(L279="","Ouvert",IF(X279&gt;0,"Gagné",IF(X279&lt;0,"Perdu","Neutre"))))</f>
        <v/>
      </c>
      <c r="AD279" s="115">
        <f>IF(X279="","",IF(C279="",B279,C279))</f>
        <v/>
      </c>
      <c r="AE279" s="109">
        <f>IF(B279="","",WEEKDAY(B279,2))</f>
        <v/>
      </c>
      <c r="AF279" s="112">
        <f>IF(X279="","",'Paramètres'!$C$9+SUM($X$6:X279))</f>
        <v/>
      </c>
      <c r="AG279" s="112">
        <f>IF(AF279="","",MAX('Paramètres'!$C$9,MAX($AF$6:AF279)))</f>
        <v/>
      </c>
      <c r="AH279" s="116">
        <f>IF(AF279="","",AF279/AG279-1)</f>
        <v/>
      </c>
      <c r="AI279" s="109">
        <f>IF(X279="","",IF(X279&gt;0,IF(N(AI278)&gt;0,N(AI278)+1,1),IF(X279&lt;0,IF(N(AI278)&lt;0,N(AI278)-1,-1),0)))</f>
        <v/>
      </c>
      <c r="AJ279" s="116">
        <f>IF(Z279="","",IFERROR(Z279/('Paramètres'!$C$9+SUM($X$5:X278)),""))</f>
        <v/>
      </c>
      <c r="AK279" s="109">
        <f>IF(AC279="Ouvert",COUNTIF($AC$6:AC279,"Ouvert"),"")</f>
        <v/>
      </c>
    </row>
    <row r="280" ht="19" customHeight="1">
      <c r="A280" s="104">
        <f>IF(B280="","",ROW()-5)</f>
        <v/>
      </c>
      <c r="B280" s="61" t="n"/>
      <c r="C280" s="61" t="n"/>
      <c r="D280" s="105" t="n"/>
      <c r="E280" s="49" t="n"/>
      <c r="F280" s="105" t="n"/>
      <c r="G280" s="49" t="n"/>
      <c r="H280" s="106" t="n"/>
      <c r="I280" s="107" t="n"/>
      <c r="J280" s="107" t="n"/>
      <c r="K280" s="107" t="n"/>
      <c r="L280" s="107" t="n"/>
      <c r="M280" s="106" t="n"/>
      <c r="N280" s="62" t="n"/>
      <c r="O280" s="49" t="n"/>
      <c r="P280" s="49" t="n"/>
      <c r="Q280" s="105" t="n"/>
      <c r="R280" s="105" t="n"/>
      <c r="S280" s="105" t="n"/>
      <c r="T280" s="105" t="n"/>
      <c r="U280" s="108">
        <f>IF(OR(H280="",I280="",I280=0),"",H280/I280)</f>
        <v/>
      </c>
      <c r="V280" s="109">
        <f>IF(OR(B280="",C280="",L280=""),"",MAX(0,C280-B280))</f>
        <v/>
      </c>
      <c r="W280" s="110">
        <f>IF(OR(L280="",U280=""),"",IF(E280="Short",(I280-L280)*U280,(L280-I280)*U280))</f>
        <v/>
      </c>
      <c r="X280" s="110">
        <f>IF(W280="","",W280-IF(M280="",0,M280))</f>
        <v/>
      </c>
      <c r="Y280" s="111">
        <f>IF(OR(X280="",H280="",H280=0),"",X280/H280)</f>
        <v/>
      </c>
      <c r="Z280" s="112">
        <f>IF(OR(I280="",J280="",U280=""),"",ABS(I280-J280)*U280)</f>
        <v/>
      </c>
      <c r="AA280" s="113">
        <f>IF(OR(X280="",Z280="",Z280=0),"",X280/Z280)</f>
        <v/>
      </c>
      <c r="AB280" s="114">
        <f>IF(OR(I280="",J280="",K280="",I280=J280),"",ABS(K280-I280)/ABS(I280-J280))</f>
        <v/>
      </c>
      <c r="AC280" s="51">
        <f>IF(OR(B280="",D280="",H280="",I280=""),"",IF(L280="","Ouvert",IF(X280&gt;0,"Gagné",IF(X280&lt;0,"Perdu","Neutre"))))</f>
        <v/>
      </c>
      <c r="AD280" s="115">
        <f>IF(X280="","",IF(C280="",B280,C280))</f>
        <v/>
      </c>
      <c r="AE280" s="109">
        <f>IF(B280="","",WEEKDAY(B280,2))</f>
        <v/>
      </c>
      <c r="AF280" s="112">
        <f>IF(X280="","",'Paramètres'!$C$9+SUM($X$6:X280))</f>
        <v/>
      </c>
      <c r="AG280" s="112">
        <f>IF(AF280="","",MAX('Paramètres'!$C$9,MAX($AF$6:AF280)))</f>
        <v/>
      </c>
      <c r="AH280" s="116">
        <f>IF(AF280="","",AF280/AG280-1)</f>
        <v/>
      </c>
      <c r="AI280" s="109">
        <f>IF(X280="","",IF(X280&gt;0,IF(N(AI279)&gt;0,N(AI279)+1,1),IF(X280&lt;0,IF(N(AI279)&lt;0,N(AI279)-1,-1),0)))</f>
        <v/>
      </c>
      <c r="AJ280" s="116">
        <f>IF(Z280="","",IFERROR(Z280/('Paramètres'!$C$9+SUM($X$5:X279)),""))</f>
        <v/>
      </c>
      <c r="AK280" s="109">
        <f>IF(AC280="Ouvert",COUNTIF($AC$6:AC280,"Ouvert"),"")</f>
        <v/>
      </c>
    </row>
    <row r="281" ht="19" customHeight="1">
      <c r="A281" s="104">
        <f>IF(B281="","",ROW()-5)</f>
        <v/>
      </c>
      <c r="B281" s="61" t="n"/>
      <c r="C281" s="61" t="n"/>
      <c r="D281" s="105" t="n"/>
      <c r="E281" s="49" t="n"/>
      <c r="F281" s="105" t="n"/>
      <c r="G281" s="49" t="n"/>
      <c r="H281" s="106" t="n"/>
      <c r="I281" s="107" t="n"/>
      <c r="J281" s="107" t="n"/>
      <c r="K281" s="107" t="n"/>
      <c r="L281" s="107" t="n"/>
      <c r="M281" s="106" t="n"/>
      <c r="N281" s="62" t="n"/>
      <c r="O281" s="49" t="n"/>
      <c r="P281" s="49" t="n"/>
      <c r="Q281" s="105" t="n"/>
      <c r="R281" s="105" t="n"/>
      <c r="S281" s="105" t="n"/>
      <c r="T281" s="105" t="n"/>
      <c r="U281" s="108">
        <f>IF(OR(H281="",I281="",I281=0),"",H281/I281)</f>
        <v/>
      </c>
      <c r="V281" s="109">
        <f>IF(OR(B281="",C281="",L281=""),"",MAX(0,C281-B281))</f>
        <v/>
      </c>
      <c r="W281" s="110">
        <f>IF(OR(L281="",U281=""),"",IF(E281="Short",(I281-L281)*U281,(L281-I281)*U281))</f>
        <v/>
      </c>
      <c r="X281" s="110">
        <f>IF(W281="","",W281-IF(M281="",0,M281))</f>
        <v/>
      </c>
      <c r="Y281" s="111">
        <f>IF(OR(X281="",H281="",H281=0),"",X281/H281)</f>
        <v/>
      </c>
      <c r="Z281" s="112">
        <f>IF(OR(I281="",J281="",U281=""),"",ABS(I281-J281)*U281)</f>
        <v/>
      </c>
      <c r="AA281" s="113">
        <f>IF(OR(X281="",Z281="",Z281=0),"",X281/Z281)</f>
        <v/>
      </c>
      <c r="AB281" s="114">
        <f>IF(OR(I281="",J281="",K281="",I281=J281),"",ABS(K281-I281)/ABS(I281-J281))</f>
        <v/>
      </c>
      <c r="AC281" s="51">
        <f>IF(OR(B281="",D281="",H281="",I281=""),"",IF(L281="","Ouvert",IF(X281&gt;0,"Gagné",IF(X281&lt;0,"Perdu","Neutre"))))</f>
        <v/>
      </c>
      <c r="AD281" s="115">
        <f>IF(X281="","",IF(C281="",B281,C281))</f>
        <v/>
      </c>
      <c r="AE281" s="109">
        <f>IF(B281="","",WEEKDAY(B281,2))</f>
        <v/>
      </c>
      <c r="AF281" s="112">
        <f>IF(X281="","",'Paramètres'!$C$9+SUM($X$6:X281))</f>
        <v/>
      </c>
      <c r="AG281" s="112">
        <f>IF(AF281="","",MAX('Paramètres'!$C$9,MAX($AF$6:AF281)))</f>
        <v/>
      </c>
      <c r="AH281" s="116">
        <f>IF(AF281="","",AF281/AG281-1)</f>
        <v/>
      </c>
      <c r="AI281" s="109">
        <f>IF(X281="","",IF(X281&gt;0,IF(N(AI280)&gt;0,N(AI280)+1,1),IF(X281&lt;0,IF(N(AI280)&lt;0,N(AI280)-1,-1),0)))</f>
        <v/>
      </c>
      <c r="AJ281" s="116">
        <f>IF(Z281="","",IFERROR(Z281/('Paramètres'!$C$9+SUM($X$5:X280)),""))</f>
        <v/>
      </c>
      <c r="AK281" s="109">
        <f>IF(AC281="Ouvert",COUNTIF($AC$6:AC281,"Ouvert"),"")</f>
        <v/>
      </c>
    </row>
    <row r="282" ht="19" customHeight="1">
      <c r="A282" s="104">
        <f>IF(B282="","",ROW()-5)</f>
        <v/>
      </c>
      <c r="B282" s="61" t="n"/>
      <c r="C282" s="61" t="n"/>
      <c r="D282" s="105" t="n"/>
      <c r="E282" s="49" t="n"/>
      <c r="F282" s="105" t="n"/>
      <c r="G282" s="49" t="n"/>
      <c r="H282" s="106" t="n"/>
      <c r="I282" s="107" t="n"/>
      <c r="J282" s="107" t="n"/>
      <c r="K282" s="107" t="n"/>
      <c r="L282" s="107" t="n"/>
      <c r="M282" s="106" t="n"/>
      <c r="N282" s="62" t="n"/>
      <c r="O282" s="49" t="n"/>
      <c r="P282" s="49" t="n"/>
      <c r="Q282" s="105" t="n"/>
      <c r="R282" s="105" t="n"/>
      <c r="S282" s="105" t="n"/>
      <c r="T282" s="105" t="n"/>
      <c r="U282" s="108">
        <f>IF(OR(H282="",I282="",I282=0),"",H282/I282)</f>
        <v/>
      </c>
      <c r="V282" s="109">
        <f>IF(OR(B282="",C282="",L282=""),"",MAX(0,C282-B282))</f>
        <v/>
      </c>
      <c r="W282" s="110">
        <f>IF(OR(L282="",U282=""),"",IF(E282="Short",(I282-L282)*U282,(L282-I282)*U282))</f>
        <v/>
      </c>
      <c r="X282" s="110">
        <f>IF(W282="","",W282-IF(M282="",0,M282))</f>
        <v/>
      </c>
      <c r="Y282" s="111">
        <f>IF(OR(X282="",H282="",H282=0),"",X282/H282)</f>
        <v/>
      </c>
      <c r="Z282" s="112">
        <f>IF(OR(I282="",J282="",U282=""),"",ABS(I282-J282)*U282)</f>
        <v/>
      </c>
      <c r="AA282" s="113">
        <f>IF(OR(X282="",Z282="",Z282=0),"",X282/Z282)</f>
        <v/>
      </c>
      <c r="AB282" s="114">
        <f>IF(OR(I282="",J282="",K282="",I282=J282),"",ABS(K282-I282)/ABS(I282-J282))</f>
        <v/>
      </c>
      <c r="AC282" s="51">
        <f>IF(OR(B282="",D282="",H282="",I282=""),"",IF(L282="","Ouvert",IF(X282&gt;0,"Gagné",IF(X282&lt;0,"Perdu","Neutre"))))</f>
        <v/>
      </c>
      <c r="AD282" s="115">
        <f>IF(X282="","",IF(C282="",B282,C282))</f>
        <v/>
      </c>
      <c r="AE282" s="109">
        <f>IF(B282="","",WEEKDAY(B282,2))</f>
        <v/>
      </c>
      <c r="AF282" s="112">
        <f>IF(X282="","",'Paramètres'!$C$9+SUM($X$6:X282))</f>
        <v/>
      </c>
      <c r="AG282" s="112">
        <f>IF(AF282="","",MAX('Paramètres'!$C$9,MAX($AF$6:AF282)))</f>
        <v/>
      </c>
      <c r="AH282" s="116">
        <f>IF(AF282="","",AF282/AG282-1)</f>
        <v/>
      </c>
      <c r="AI282" s="109">
        <f>IF(X282="","",IF(X282&gt;0,IF(N(AI281)&gt;0,N(AI281)+1,1),IF(X282&lt;0,IF(N(AI281)&lt;0,N(AI281)-1,-1),0)))</f>
        <v/>
      </c>
      <c r="AJ282" s="116">
        <f>IF(Z282="","",IFERROR(Z282/('Paramètres'!$C$9+SUM($X$5:X281)),""))</f>
        <v/>
      </c>
      <c r="AK282" s="109">
        <f>IF(AC282="Ouvert",COUNTIF($AC$6:AC282,"Ouvert"),"")</f>
        <v/>
      </c>
    </row>
    <row r="283" ht="19" customHeight="1">
      <c r="A283" s="104">
        <f>IF(B283="","",ROW()-5)</f>
        <v/>
      </c>
      <c r="B283" s="61" t="n"/>
      <c r="C283" s="61" t="n"/>
      <c r="D283" s="105" t="n"/>
      <c r="E283" s="49" t="n"/>
      <c r="F283" s="105" t="n"/>
      <c r="G283" s="49" t="n"/>
      <c r="H283" s="106" t="n"/>
      <c r="I283" s="107" t="n"/>
      <c r="J283" s="107" t="n"/>
      <c r="K283" s="107" t="n"/>
      <c r="L283" s="107" t="n"/>
      <c r="M283" s="106" t="n"/>
      <c r="N283" s="62" t="n"/>
      <c r="O283" s="49" t="n"/>
      <c r="P283" s="49" t="n"/>
      <c r="Q283" s="105" t="n"/>
      <c r="R283" s="105" t="n"/>
      <c r="S283" s="105" t="n"/>
      <c r="T283" s="105" t="n"/>
      <c r="U283" s="108">
        <f>IF(OR(H283="",I283="",I283=0),"",H283/I283)</f>
        <v/>
      </c>
      <c r="V283" s="109">
        <f>IF(OR(B283="",C283="",L283=""),"",MAX(0,C283-B283))</f>
        <v/>
      </c>
      <c r="W283" s="110">
        <f>IF(OR(L283="",U283=""),"",IF(E283="Short",(I283-L283)*U283,(L283-I283)*U283))</f>
        <v/>
      </c>
      <c r="X283" s="110">
        <f>IF(W283="","",W283-IF(M283="",0,M283))</f>
        <v/>
      </c>
      <c r="Y283" s="111">
        <f>IF(OR(X283="",H283="",H283=0),"",X283/H283)</f>
        <v/>
      </c>
      <c r="Z283" s="112">
        <f>IF(OR(I283="",J283="",U283=""),"",ABS(I283-J283)*U283)</f>
        <v/>
      </c>
      <c r="AA283" s="113">
        <f>IF(OR(X283="",Z283="",Z283=0),"",X283/Z283)</f>
        <v/>
      </c>
      <c r="AB283" s="114">
        <f>IF(OR(I283="",J283="",K283="",I283=J283),"",ABS(K283-I283)/ABS(I283-J283))</f>
        <v/>
      </c>
      <c r="AC283" s="51">
        <f>IF(OR(B283="",D283="",H283="",I283=""),"",IF(L283="","Ouvert",IF(X283&gt;0,"Gagné",IF(X283&lt;0,"Perdu","Neutre"))))</f>
        <v/>
      </c>
      <c r="AD283" s="115">
        <f>IF(X283="","",IF(C283="",B283,C283))</f>
        <v/>
      </c>
      <c r="AE283" s="109">
        <f>IF(B283="","",WEEKDAY(B283,2))</f>
        <v/>
      </c>
      <c r="AF283" s="112">
        <f>IF(X283="","",'Paramètres'!$C$9+SUM($X$6:X283))</f>
        <v/>
      </c>
      <c r="AG283" s="112">
        <f>IF(AF283="","",MAX('Paramètres'!$C$9,MAX($AF$6:AF283)))</f>
        <v/>
      </c>
      <c r="AH283" s="116">
        <f>IF(AF283="","",AF283/AG283-1)</f>
        <v/>
      </c>
      <c r="AI283" s="109">
        <f>IF(X283="","",IF(X283&gt;0,IF(N(AI282)&gt;0,N(AI282)+1,1),IF(X283&lt;0,IF(N(AI282)&lt;0,N(AI282)-1,-1),0)))</f>
        <v/>
      </c>
      <c r="AJ283" s="116">
        <f>IF(Z283="","",IFERROR(Z283/('Paramètres'!$C$9+SUM($X$5:X282)),""))</f>
        <v/>
      </c>
      <c r="AK283" s="109">
        <f>IF(AC283="Ouvert",COUNTIF($AC$6:AC283,"Ouvert"),"")</f>
        <v/>
      </c>
    </row>
    <row r="284" ht="19" customHeight="1">
      <c r="A284" s="104">
        <f>IF(B284="","",ROW()-5)</f>
        <v/>
      </c>
      <c r="B284" s="61" t="n"/>
      <c r="C284" s="61" t="n"/>
      <c r="D284" s="105" t="n"/>
      <c r="E284" s="49" t="n"/>
      <c r="F284" s="105" t="n"/>
      <c r="G284" s="49" t="n"/>
      <c r="H284" s="106" t="n"/>
      <c r="I284" s="107" t="n"/>
      <c r="J284" s="107" t="n"/>
      <c r="K284" s="107" t="n"/>
      <c r="L284" s="107" t="n"/>
      <c r="M284" s="106" t="n"/>
      <c r="N284" s="62" t="n"/>
      <c r="O284" s="49" t="n"/>
      <c r="P284" s="49" t="n"/>
      <c r="Q284" s="105" t="n"/>
      <c r="R284" s="105" t="n"/>
      <c r="S284" s="105" t="n"/>
      <c r="T284" s="105" t="n"/>
      <c r="U284" s="108">
        <f>IF(OR(H284="",I284="",I284=0),"",H284/I284)</f>
        <v/>
      </c>
      <c r="V284" s="109">
        <f>IF(OR(B284="",C284="",L284=""),"",MAX(0,C284-B284))</f>
        <v/>
      </c>
      <c r="W284" s="110">
        <f>IF(OR(L284="",U284=""),"",IF(E284="Short",(I284-L284)*U284,(L284-I284)*U284))</f>
        <v/>
      </c>
      <c r="X284" s="110">
        <f>IF(W284="","",W284-IF(M284="",0,M284))</f>
        <v/>
      </c>
      <c r="Y284" s="111">
        <f>IF(OR(X284="",H284="",H284=0),"",X284/H284)</f>
        <v/>
      </c>
      <c r="Z284" s="112">
        <f>IF(OR(I284="",J284="",U284=""),"",ABS(I284-J284)*U284)</f>
        <v/>
      </c>
      <c r="AA284" s="113">
        <f>IF(OR(X284="",Z284="",Z284=0),"",X284/Z284)</f>
        <v/>
      </c>
      <c r="AB284" s="114">
        <f>IF(OR(I284="",J284="",K284="",I284=J284),"",ABS(K284-I284)/ABS(I284-J284))</f>
        <v/>
      </c>
      <c r="AC284" s="51">
        <f>IF(OR(B284="",D284="",H284="",I284=""),"",IF(L284="","Ouvert",IF(X284&gt;0,"Gagné",IF(X284&lt;0,"Perdu","Neutre"))))</f>
        <v/>
      </c>
      <c r="AD284" s="115">
        <f>IF(X284="","",IF(C284="",B284,C284))</f>
        <v/>
      </c>
      <c r="AE284" s="109">
        <f>IF(B284="","",WEEKDAY(B284,2))</f>
        <v/>
      </c>
      <c r="AF284" s="112">
        <f>IF(X284="","",'Paramètres'!$C$9+SUM($X$6:X284))</f>
        <v/>
      </c>
      <c r="AG284" s="112">
        <f>IF(AF284="","",MAX('Paramètres'!$C$9,MAX($AF$6:AF284)))</f>
        <v/>
      </c>
      <c r="AH284" s="116">
        <f>IF(AF284="","",AF284/AG284-1)</f>
        <v/>
      </c>
      <c r="AI284" s="109">
        <f>IF(X284="","",IF(X284&gt;0,IF(N(AI283)&gt;0,N(AI283)+1,1),IF(X284&lt;0,IF(N(AI283)&lt;0,N(AI283)-1,-1),0)))</f>
        <v/>
      </c>
      <c r="AJ284" s="116">
        <f>IF(Z284="","",IFERROR(Z284/('Paramètres'!$C$9+SUM($X$5:X283)),""))</f>
        <v/>
      </c>
      <c r="AK284" s="109">
        <f>IF(AC284="Ouvert",COUNTIF($AC$6:AC284,"Ouvert"),"")</f>
        <v/>
      </c>
    </row>
    <row r="285" ht="19" customHeight="1">
      <c r="A285" s="104">
        <f>IF(B285="","",ROW()-5)</f>
        <v/>
      </c>
      <c r="B285" s="61" t="n"/>
      <c r="C285" s="61" t="n"/>
      <c r="D285" s="105" t="n"/>
      <c r="E285" s="49" t="n"/>
      <c r="F285" s="105" t="n"/>
      <c r="G285" s="49" t="n"/>
      <c r="H285" s="106" t="n"/>
      <c r="I285" s="107" t="n"/>
      <c r="J285" s="107" t="n"/>
      <c r="K285" s="107" t="n"/>
      <c r="L285" s="107" t="n"/>
      <c r="M285" s="106" t="n"/>
      <c r="N285" s="62" t="n"/>
      <c r="O285" s="49" t="n"/>
      <c r="P285" s="49" t="n"/>
      <c r="Q285" s="105" t="n"/>
      <c r="R285" s="105" t="n"/>
      <c r="S285" s="105" t="n"/>
      <c r="T285" s="105" t="n"/>
      <c r="U285" s="108">
        <f>IF(OR(H285="",I285="",I285=0),"",H285/I285)</f>
        <v/>
      </c>
      <c r="V285" s="109">
        <f>IF(OR(B285="",C285="",L285=""),"",MAX(0,C285-B285))</f>
        <v/>
      </c>
      <c r="W285" s="110">
        <f>IF(OR(L285="",U285=""),"",IF(E285="Short",(I285-L285)*U285,(L285-I285)*U285))</f>
        <v/>
      </c>
      <c r="X285" s="110">
        <f>IF(W285="","",W285-IF(M285="",0,M285))</f>
        <v/>
      </c>
      <c r="Y285" s="111">
        <f>IF(OR(X285="",H285="",H285=0),"",X285/H285)</f>
        <v/>
      </c>
      <c r="Z285" s="112">
        <f>IF(OR(I285="",J285="",U285=""),"",ABS(I285-J285)*U285)</f>
        <v/>
      </c>
      <c r="AA285" s="113">
        <f>IF(OR(X285="",Z285="",Z285=0),"",X285/Z285)</f>
        <v/>
      </c>
      <c r="AB285" s="114">
        <f>IF(OR(I285="",J285="",K285="",I285=J285),"",ABS(K285-I285)/ABS(I285-J285))</f>
        <v/>
      </c>
      <c r="AC285" s="51">
        <f>IF(OR(B285="",D285="",H285="",I285=""),"",IF(L285="","Ouvert",IF(X285&gt;0,"Gagné",IF(X285&lt;0,"Perdu","Neutre"))))</f>
        <v/>
      </c>
      <c r="AD285" s="115">
        <f>IF(X285="","",IF(C285="",B285,C285))</f>
        <v/>
      </c>
      <c r="AE285" s="109">
        <f>IF(B285="","",WEEKDAY(B285,2))</f>
        <v/>
      </c>
      <c r="AF285" s="112">
        <f>IF(X285="","",'Paramètres'!$C$9+SUM($X$6:X285))</f>
        <v/>
      </c>
      <c r="AG285" s="112">
        <f>IF(AF285="","",MAX('Paramètres'!$C$9,MAX($AF$6:AF285)))</f>
        <v/>
      </c>
      <c r="AH285" s="116">
        <f>IF(AF285="","",AF285/AG285-1)</f>
        <v/>
      </c>
      <c r="AI285" s="109">
        <f>IF(X285="","",IF(X285&gt;0,IF(N(AI284)&gt;0,N(AI284)+1,1),IF(X285&lt;0,IF(N(AI284)&lt;0,N(AI284)-1,-1),0)))</f>
        <v/>
      </c>
      <c r="AJ285" s="116">
        <f>IF(Z285="","",IFERROR(Z285/('Paramètres'!$C$9+SUM($X$5:X284)),""))</f>
        <v/>
      </c>
      <c r="AK285" s="109">
        <f>IF(AC285="Ouvert",COUNTIF($AC$6:AC285,"Ouvert"),"")</f>
        <v/>
      </c>
    </row>
    <row r="286" ht="19" customHeight="1">
      <c r="A286" s="104">
        <f>IF(B286="","",ROW()-5)</f>
        <v/>
      </c>
      <c r="B286" s="61" t="n"/>
      <c r="C286" s="61" t="n"/>
      <c r="D286" s="105" t="n"/>
      <c r="E286" s="49" t="n"/>
      <c r="F286" s="105" t="n"/>
      <c r="G286" s="49" t="n"/>
      <c r="H286" s="106" t="n"/>
      <c r="I286" s="107" t="n"/>
      <c r="J286" s="107" t="n"/>
      <c r="K286" s="107" t="n"/>
      <c r="L286" s="107" t="n"/>
      <c r="M286" s="106" t="n"/>
      <c r="N286" s="62" t="n"/>
      <c r="O286" s="49" t="n"/>
      <c r="P286" s="49" t="n"/>
      <c r="Q286" s="105" t="n"/>
      <c r="R286" s="105" t="n"/>
      <c r="S286" s="105" t="n"/>
      <c r="T286" s="105" t="n"/>
      <c r="U286" s="108">
        <f>IF(OR(H286="",I286="",I286=0),"",H286/I286)</f>
        <v/>
      </c>
      <c r="V286" s="109">
        <f>IF(OR(B286="",C286="",L286=""),"",MAX(0,C286-B286))</f>
        <v/>
      </c>
      <c r="W286" s="110">
        <f>IF(OR(L286="",U286=""),"",IF(E286="Short",(I286-L286)*U286,(L286-I286)*U286))</f>
        <v/>
      </c>
      <c r="X286" s="110">
        <f>IF(W286="","",W286-IF(M286="",0,M286))</f>
        <v/>
      </c>
      <c r="Y286" s="111">
        <f>IF(OR(X286="",H286="",H286=0),"",X286/H286)</f>
        <v/>
      </c>
      <c r="Z286" s="112">
        <f>IF(OR(I286="",J286="",U286=""),"",ABS(I286-J286)*U286)</f>
        <v/>
      </c>
      <c r="AA286" s="113">
        <f>IF(OR(X286="",Z286="",Z286=0),"",X286/Z286)</f>
        <v/>
      </c>
      <c r="AB286" s="114">
        <f>IF(OR(I286="",J286="",K286="",I286=J286),"",ABS(K286-I286)/ABS(I286-J286))</f>
        <v/>
      </c>
      <c r="AC286" s="51">
        <f>IF(OR(B286="",D286="",H286="",I286=""),"",IF(L286="","Ouvert",IF(X286&gt;0,"Gagné",IF(X286&lt;0,"Perdu","Neutre"))))</f>
        <v/>
      </c>
      <c r="AD286" s="115">
        <f>IF(X286="","",IF(C286="",B286,C286))</f>
        <v/>
      </c>
      <c r="AE286" s="109">
        <f>IF(B286="","",WEEKDAY(B286,2))</f>
        <v/>
      </c>
      <c r="AF286" s="112">
        <f>IF(X286="","",'Paramètres'!$C$9+SUM($X$6:X286))</f>
        <v/>
      </c>
      <c r="AG286" s="112">
        <f>IF(AF286="","",MAX('Paramètres'!$C$9,MAX($AF$6:AF286)))</f>
        <v/>
      </c>
      <c r="AH286" s="116">
        <f>IF(AF286="","",AF286/AG286-1)</f>
        <v/>
      </c>
      <c r="AI286" s="109">
        <f>IF(X286="","",IF(X286&gt;0,IF(N(AI285)&gt;0,N(AI285)+1,1),IF(X286&lt;0,IF(N(AI285)&lt;0,N(AI285)-1,-1),0)))</f>
        <v/>
      </c>
      <c r="AJ286" s="116">
        <f>IF(Z286="","",IFERROR(Z286/('Paramètres'!$C$9+SUM($X$5:X285)),""))</f>
        <v/>
      </c>
      <c r="AK286" s="109">
        <f>IF(AC286="Ouvert",COUNTIF($AC$6:AC286,"Ouvert"),"")</f>
        <v/>
      </c>
    </row>
    <row r="287" ht="19" customHeight="1">
      <c r="A287" s="104">
        <f>IF(B287="","",ROW()-5)</f>
        <v/>
      </c>
      <c r="B287" s="61" t="n"/>
      <c r="C287" s="61" t="n"/>
      <c r="D287" s="105" t="n"/>
      <c r="E287" s="49" t="n"/>
      <c r="F287" s="105" t="n"/>
      <c r="G287" s="49" t="n"/>
      <c r="H287" s="106" t="n"/>
      <c r="I287" s="107" t="n"/>
      <c r="J287" s="107" t="n"/>
      <c r="K287" s="107" t="n"/>
      <c r="L287" s="107" t="n"/>
      <c r="M287" s="106" t="n"/>
      <c r="N287" s="62" t="n"/>
      <c r="O287" s="49" t="n"/>
      <c r="P287" s="49" t="n"/>
      <c r="Q287" s="105" t="n"/>
      <c r="R287" s="105" t="n"/>
      <c r="S287" s="105" t="n"/>
      <c r="T287" s="105" t="n"/>
      <c r="U287" s="108">
        <f>IF(OR(H287="",I287="",I287=0),"",H287/I287)</f>
        <v/>
      </c>
      <c r="V287" s="109">
        <f>IF(OR(B287="",C287="",L287=""),"",MAX(0,C287-B287))</f>
        <v/>
      </c>
      <c r="W287" s="110">
        <f>IF(OR(L287="",U287=""),"",IF(E287="Short",(I287-L287)*U287,(L287-I287)*U287))</f>
        <v/>
      </c>
      <c r="X287" s="110">
        <f>IF(W287="","",W287-IF(M287="",0,M287))</f>
        <v/>
      </c>
      <c r="Y287" s="111">
        <f>IF(OR(X287="",H287="",H287=0),"",X287/H287)</f>
        <v/>
      </c>
      <c r="Z287" s="112">
        <f>IF(OR(I287="",J287="",U287=""),"",ABS(I287-J287)*U287)</f>
        <v/>
      </c>
      <c r="AA287" s="113">
        <f>IF(OR(X287="",Z287="",Z287=0),"",X287/Z287)</f>
        <v/>
      </c>
      <c r="AB287" s="114">
        <f>IF(OR(I287="",J287="",K287="",I287=J287),"",ABS(K287-I287)/ABS(I287-J287))</f>
        <v/>
      </c>
      <c r="AC287" s="51">
        <f>IF(OR(B287="",D287="",H287="",I287=""),"",IF(L287="","Ouvert",IF(X287&gt;0,"Gagné",IF(X287&lt;0,"Perdu","Neutre"))))</f>
        <v/>
      </c>
      <c r="AD287" s="115">
        <f>IF(X287="","",IF(C287="",B287,C287))</f>
        <v/>
      </c>
      <c r="AE287" s="109">
        <f>IF(B287="","",WEEKDAY(B287,2))</f>
        <v/>
      </c>
      <c r="AF287" s="112">
        <f>IF(X287="","",'Paramètres'!$C$9+SUM($X$6:X287))</f>
        <v/>
      </c>
      <c r="AG287" s="112">
        <f>IF(AF287="","",MAX('Paramètres'!$C$9,MAX($AF$6:AF287)))</f>
        <v/>
      </c>
      <c r="AH287" s="116">
        <f>IF(AF287="","",AF287/AG287-1)</f>
        <v/>
      </c>
      <c r="AI287" s="109">
        <f>IF(X287="","",IF(X287&gt;0,IF(N(AI286)&gt;0,N(AI286)+1,1),IF(X287&lt;0,IF(N(AI286)&lt;0,N(AI286)-1,-1),0)))</f>
        <v/>
      </c>
      <c r="AJ287" s="116">
        <f>IF(Z287="","",IFERROR(Z287/('Paramètres'!$C$9+SUM($X$5:X286)),""))</f>
        <v/>
      </c>
      <c r="AK287" s="109">
        <f>IF(AC287="Ouvert",COUNTIF($AC$6:AC287,"Ouvert"),"")</f>
        <v/>
      </c>
    </row>
    <row r="288" ht="19" customHeight="1">
      <c r="A288" s="104">
        <f>IF(B288="","",ROW()-5)</f>
        <v/>
      </c>
      <c r="B288" s="61" t="n"/>
      <c r="C288" s="61" t="n"/>
      <c r="D288" s="105" t="n"/>
      <c r="E288" s="49" t="n"/>
      <c r="F288" s="105" t="n"/>
      <c r="G288" s="49" t="n"/>
      <c r="H288" s="106" t="n"/>
      <c r="I288" s="107" t="n"/>
      <c r="J288" s="107" t="n"/>
      <c r="K288" s="107" t="n"/>
      <c r="L288" s="107" t="n"/>
      <c r="M288" s="106" t="n"/>
      <c r="N288" s="62" t="n"/>
      <c r="O288" s="49" t="n"/>
      <c r="P288" s="49" t="n"/>
      <c r="Q288" s="105" t="n"/>
      <c r="R288" s="105" t="n"/>
      <c r="S288" s="105" t="n"/>
      <c r="T288" s="105" t="n"/>
      <c r="U288" s="108">
        <f>IF(OR(H288="",I288="",I288=0),"",H288/I288)</f>
        <v/>
      </c>
      <c r="V288" s="109">
        <f>IF(OR(B288="",C288="",L288=""),"",MAX(0,C288-B288))</f>
        <v/>
      </c>
      <c r="W288" s="110">
        <f>IF(OR(L288="",U288=""),"",IF(E288="Short",(I288-L288)*U288,(L288-I288)*U288))</f>
        <v/>
      </c>
      <c r="X288" s="110">
        <f>IF(W288="","",W288-IF(M288="",0,M288))</f>
        <v/>
      </c>
      <c r="Y288" s="111">
        <f>IF(OR(X288="",H288="",H288=0),"",X288/H288)</f>
        <v/>
      </c>
      <c r="Z288" s="112">
        <f>IF(OR(I288="",J288="",U288=""),"",ABS(I288-J288)*U288)</f>
        <v/>
      </c>
      <c r="AA288" s="113">
        <f>IF(OR(X288="",Z288="",Z288=0),"",X288/Z288)</f>
        <v/>
      </c>
      <c r="AB288" s="114">
        <f>IF(OR(I288="",J288="",K288="",I288=J288),"",ABS(K288-I288)/ABS(I288-J288))</f>
        <v/>
      </c>
      <c r="AC288" s="51">
        <f>IF(OR(B288="",D288="",H288="",I288=""),"",IF(L288="","Ouvert",IF(X288&gt;0,"Gagné",IF(X288&lt;0,"Perdu","Neutre"))))</f>
        <v/>
      </c>
      <c r="AD288" s="115">
        <f>IF(X288="","",IF(C288="",B288,C288))</f>
        <v/>
      </c>
      <c r="AE288" s="109">
        <f>IF(B288="","",WEEKDAY(B288,2))</f>
        <v/>
      </c>
      <c r="AF288" s="112">
        <f>IF(X288="","",'Paramètres'!$C$9+SUM($X$6:X288))</f>
        <v/>
      </c>
      <c r="AG288" s="112">
        <f>IF(AF288="","",MAX('Paramètres'!$C$9,MAX($AF$6:AF288)))</f>
        <v/>
      </c>
      <c r="AH288" s="116">
        <f>IF(AF288="","",AF288/AG288-1)</f>
        <v/>
      </c>
      <c r="AI288" s="109">
        <f>IF(X288="","",IF(X288&gt;0,IF(N(AI287)&gt;0,N(AI287)+1,1),IF(X288&lt;0,IF(N(AI287)&lt;0,N(AI287)-1,-1),0)))</f>
        <v/>
      </c>
      <c r="AJ288" s="116">
        <f>IF(Z288="","",IFERROR(Z288/('Paramètres'!$C$9+SUM($X$5:X287)),""))</f>
        <v/>
      </c>
      <c r="AK288" s="109">
        <f>IF(AC288="Ouvert",COUNTIF($AC$6:AC288,"Ouvert"),"")</f>
        <v/>
      </c>
    </row>
    <row r="289" ht="19" customHeight="1">
      <c r="A289" s="104">
        <f>IF(B289="","",ROW()-5)</f>
        <v/>
      </c>
      <c r="B289" s="61" t="n"/>
      <c r="C289" s="61" t="n"/>
      <c r="D289" s="105" t="n"/>
      <c r="E289" s="49" t="n"/>
      <c r="F289" s="105" t="n"/>
      <c r="G289" s="49" t="n"/>
      <c r="H289" s="106" t="n"/>
      <c r="I289" s="107" t="n"/>
      <c r="J289" s="107" t="n"/>
      <c r="K289" s="107" t="n"/>
      <c r="L289" s="107" t="n"/>
      <c r="M289" s="106" t="n"/>
      <c r="N289" s="62" t="n"/>
      <c r="O289" s="49" t="n"/>
      <c r="P289" s="49" t="n"/>
      <c r="Q289" s="105" t="n"/>
      <c r="R289" s="105" t="n"/>
      <c r="S289" s="105" t="n"/>
      <c r="T289" s="105" t="n"/>
      <c r="U289" s="108">
        <f>IF(OR(H289="",I289="",I289=0),"",H289/I289)</f>
        <v/>
      </c>
      <c r="V289" s="109">
        <f>IF(OR(B289="",C289="",L289=""),"",MAX(0,C289-B289))</f>
        <v/>
      </c>
      <c r="W289" s="110">
        <f>IF(OR(L289="",U289=""),"",IF(E289="Short",(I289-L289)*U289,(L289-I289)*U289))</f>
        <v/>
      </c>
      <c r="X289" s="110">
        <f>IF(W289="","",W289-IF(M289="",0,M289))</f>
        <v/>
      </c>
      <c r="Y289" s="111">
        <f>IF(OR(X289="",H289="",H289=0),"",X289/H289)</f>
        <v/>
      </c>
      <c r="Z289" s="112">
        <f>IF(OR(I289="",J289="",U289=""),"",ABS(I289-J289)*U289)</f>
        <v/>
      </c>
      <c r="AA289" s="113">
        <f>IF(OR(X289="",Z289="",Z289=0),"",X289/Z289)</f>
        <v/>
      </c>
      <c r="AB289" s="114">
        <f>IF(OR(I289="",J289="",K289="",I289=J289),"",ABS(K289-I289)/ABS(I289-J289))</f>
        <v/>
      </c>
      <c r="AC289" s="51">
        <f>IF(OR(B289="",D289="",H289="",I289=""),"",IF(L289="","Ouvert",IF(X289&gt;0,"Gagné",IF(X289&lt;0,"Perdu","Neutre"))))</f>
        <v/>
      </c>
      <c r="AD289" s="115">
        <f>IF(X289="","",IF(C289="",B289,C289))</f>
        <v/>
      </c>
      <c r="AE289" s="109">
        <f>IF(B289="","",WEEKDAY(B289,2))</f>
        <v/>
      </c>
      <c r="AF289" s="112">
        <f>IF(X289="","",'Paramètres'!$C$9+SUM($X$6:X289))</f>
        <v/>
      </c>
      <c r="AG289" s="112">
        <f>IF(AF289="","",MAX('Paramètres'!$C$9,MAX($AF$6:AF289)))</f>
        <v/>
      </c>
      <c r="AH289" s="116">
        <f>IF(AF289="","",AF289/AG289-1)</f>
        <v/>
      </c>
      <c r="AI289" s="109">
        <f>IF(X289="","",IF(X289&gt;0,IF(N(AI288)&gt;0,N(AI288)+1,1),IF(X289&lt;0,IF(N(AI288)&lt;0,N(AI288)-1,-1),0)))</f>
        <v/>
      </c>
      <c r="AJ289" s="116">
        <f>IF(Z289="","",IFERROR(Z289/('Paramètres'!$C$9+SUM($X$5:X288)),""))</f>
        <v/>
      </c>
      <c r="AK289" s="109">
        <f>IF(AC289="Ouvert",COUNTIF($AC$6:AC289,"Ouvert"),"")</f>
        <v/>
      </c>
    </row>
    <row r="290" ht="19" customHeight="1">
      <c r="A290" s="104">
        <f>IF(B290="","",ROW()-5)</f>
        <v/>
      </c>
      <c r="B290" s="61" t="n"/>
      <c r="C290" s="61" t="n"/>
      <c r="D290" s="105" t="n"/>
      <c r="E290" s="49" t="n"/>
      <c r="F290" s="105" t="n"/>
      <c r="G290" s="49" t="n"/>
      <c r="H290" s="106" t="n"/>
      <c r="I290" s="107" t="n"/>
      <c r="J290" s="107" t="n"/>
      <c r="K290" s="107" t="n"/>
      <c r="L290" s="107" t="n"/>
      <c r="M290" s="106" t="n"/>
      <c r="N290" s="62" t="n"/>
      <c r="O290" s="49" t="n"/>
      <c r="P290" s="49" t="n"/>
      <c r="Q290" s="105" t="n"/>
      <c r="R290" s="105" t="n"/>
      <c r="S290" s="105" t="n"/>
      <c r="T290" s="105" t="n"/>
      <c r="U290" s="108">
        <f>IF(OR(H290="",I290="",I290=0),"",H290/I290)</f>
        <v/>
      </c>
      <c r="V290" s="109">
        <f>IF(OR(B290="",C290="",L290=""),"",MAX(0,C290-B290))</f>
        <v/>
      </c>
      <c r="W290" s="110">
        <f>IF(OR(L290="",U290=""),"",IF(E290="Short",(I290-L290)*U290,(L290-I290)*U290))</f>
        <v/>
      </c>
      <c r="X290" s="110">
        <f>IF(W290="","",W290-IF(M290="",0,M290))</f>
        <v/>
      </c>
      <c r="Y290" s="111">
        <f>IF(OR(X290="",H290="",H290=0),"",X290/H290)</f>
        <v/>
      </c>
      <c r="Z290" s="112">
        <f>IF(OR(I290="",J290="",U290=""),"",ABS(I290-J290)*U290)</f>
        <v/>
      </c>
      <c r="AA290" s="113">
        <f>IF(OR(X290="",Z290="",Z290=0),"",X290/Z290)</f>
        <v/>
      </c>
      <c r="AB290" s="114">
        <f>IF(OR(I290="",J290="",K290="",I290=J290),"",ABS(K290-I290)/ABS(I290-J290))</f>
        <v/>
      </c>
      <c r="AC290" s="51">
        <f>IF(OR(B290="",D290="",H290="",I290=""),"",IF(L290="","Ouvert",IF(X290&gt;0,"Gagné",IF(X290&lt;0,"Perdu","Neutre"))))</f>
        <v/>
      </c>
      <c r="AD290" s="115">
        <f>IF(X290="","",IF(C290="",B290,C290))</f>
        <v/>
      </c>
      <c r="AE290" s="109">
        <f>IF(B290="","",WEEKDAY(B290,2))</f>
        <v/>
      </c>
      <c r="AF290" s="112">
        <f>IF(X290="","",'Paramètres'!$C$9+SUM($X$6:X290))</f>
        <v/>
      </c>
      <c r="AG290" s="112">
        <f>IF(AF290="","",MAX('Paramètres'!$C$9,MAX($AF$6:AF290)))</f>
        <v/>
      </c>
      <c r="AH290" s="116">
        <f>IF(AF290="","",AF290/AG290-1)</f>
        <v/>
      </c>
      <c r="AI290" s="109">
        <f>IF(X290="","",IF(X290&gt;0,IF(N(AI289)&gt;0,N(AI289)+1,1),IF(X290&lt;0,IF(N(AI289)&lt;0,N(AI289)-1,-1),0)))</f>
        <v/>
      </c>
      <c r="AJ290" s="116">
        <f>IF(Z290="","",IFERROR(Z290/('Paramètres'!$C$9+SUM($X$5:X289)),""))</f>
        <v/>
      </c>
      <c r="AK290" s="109">
        <f>IF(AC290="Ouvert",COUNTIF($AC$6:AC290,"Ouvert"),"")</f>
        <v/>
      </c>
    </row>
    <row r="291" ht="19" customHeight="1">
      <c r="A291" s="104">
        <f>IF(B291="","",ROW()-5)</f>
        <v/>
      </c>
      <c r="B291" s="61" t="n"/>
      <c r="C291" s="61" t="n"/>
      <c r="D291" s="105" t="n"/>
      <c r="E291" s="49" t="n"/>
      <c r="F291" s="105" t="n"/>
      <c r="G291" s="49" t="n"/>
      <c r="H291" s="106" t="n"/>
      <c r="I291" s="107" t="n"/>
      <c r="J291" s="107" t="n"/>
      <c r="K291" s="107" t="n"/>
      <c r="L291" s="107" t="n"/>
      <c r="M291" s="106" t="n"/>
      <c r="N291" s="62" t="n"/>
      <c r="O291" s="49" t="n"/>
      <c r="P291" s="49" t="n"/>
      <c r="Q291" s="105" t="n"/>
      <c r="R291" s="105" t="n"/>
      <c r="S291" s="105" t="n"/>
      <c r="T291" s="105" t="n"/>
      <c r="U291" s="108">
        <f>IF(OR(H291="",I291="",I291=0),"",H291/I291)</f>
        <v/>
      </c>
      <c r="V291" s="109">
        <f>IF(OR(B291="",C291="",L291=""),"",MAX(0,C291-B291))</f>
        <v/>
      </c>
      <c r="W291" s="110">
        <f>IF(OR(L291="",U291=""),"",IF(E291="Short",(I291-L291)*U291,(L291-I291)*U291))</f>
        <v/>
      </c>
      <c r="X291" s="110">
        <f>IF(W291="","",W291-IF(M291="",0,M291))</f>
        <v/>
      </c>
      <c r="Y291" s="111">
        <f>IF(OR(X291="",H291="",H291=0),"",X291/H291)</f>
        <v/>
      </c>
      <c r="Z291" s="112">
        <f>IF(OR(I291="",J291="",U291=""),"",ABS(I291-J291)*U291)</f>
        <v/>
      </c>
      <c r="AA291" s="113">
        <f>IF(OR(X291="",Z291="",Z291=0),"",X291/Z291)</f>
        <v/>
      </c>
      <c r="AB291" s="114">
        <f>IF(OR(I291="",J291="",K291="",I291=J291),"",ABS(K291-I291)/ABS(I291-J291))</f>
        <v/>
      </c>
      <c r="AC291" s="51">
        <f>IF(OR(B291="",D291="",H291="",I291=""),"",IF(L291="","Ouvert",IF(X291&gt;0,"Gagné",IF(X291&lt;0,"Perdu","Neutre"))))</f>
        <v/>
      </c>
      <c r="AD291" s="115">
        <f>IF(X291="","",IF(C291="",B291,C291))</f>
        <v/>
      </c>
      <c r="AE291" s="109">
        <f>IF(B291="","",WEEKDAY(B291,2))</f>
        <v/>
      </c>
      <c r="AF291" s="112">
        <f>IF(X291="","",'Paramètres'!$C$9+SUM($X$6:X291))</f>
        <v/>
      </c>
      <c r="AG291" s="112">
        <f>IF(AF291="","",MAX('Paramètres'!$C$9,MAX($AF$6:AF291)))</f>
        <v/>
      </c>
      <c r="AH291" s="116">
        <f>IF(AF291="","",AF291/AG291-1)</f>
        <v/>
      </c>
      <c r="AI291" s="109">
        <f>IF(X291="","",IF(X291&gt;0,IF(N(AI290)&gt;0,N(AI290)+1,1),IF(X291&lt;0,IF(N(AI290)&lt;0,N(AI290)-1,-1),0)))</f>
        <v/>
      </c>
      <c r="AJ291" s="116">
        <f>IF(Z291="","",IFERROR(Z291/('Paramètres'!$C$9+SUM($X$5:X290)),""))</f>
        <v/>
      </c>
      <c r="AK291" s="109">
        <f>IF(AC291="Ouvert",COUNTIF($AC$6:AC291,"Ouvert"),"")</f>
        <v/>
      </c>
    </row>
    <row r="292" ht="19" customHeight="1">
      <c r="A292" s="104">
        <f>IF(B292="","",ROW()-5)</f>
        <v/>
      </c>
      <c r="B292" s="61" t="n"/>
      <c r="C292" s="61" t="n"/>
      <c r="D292" s="105" t="n"/>
      <c r="E292" s="49" t="n"/>
      <c r="F292" s="105" t="n"/>
      <c r="G292" s="49" t="n"/>
      <c r="H292" s="106" t="n"/>
      <c r="I292" s="107" t="n"/>
      <c r="J292" s="107" t="n"/>
      <c r="K292" s="107" t="n"/>
      <c r="L292" s="107" t="n"/>
      <c r="M292" s="106" t="n"/>
      <c r="N292" s="62" t="n"/>
      <c r="O292" s="49" t="n"/>
      <c r="P292" s="49" t="n"/>
      <c r="Q292" s="105" t="n"/>
      <c r="R292" s="105" t="n"/>
      <c r="S292" s="105" t="n"/>
      <c r="T292" s="105" t="n"/>
      <c r="U292" s="108">
        <f>IF(OR(H292="",I292="",I292=0),"",H292/I292)</f>
        <v/>
      </c>
      <c r="V292" s="109">
        <f>IF(OR(B292="",C292="",L292=""),"",MAX(0,C292-B292))</f>
        <v/>
      </c>
      <c r="W292" s="110">
        <f>IF(OR(L292="",U292=""),"",IF(E292="Short",(I292-L292)*U292,(L292-I292)*U292))</f>
        <v/>
      </c>
      <c r="X292" s="110">
        <f>IF(W292="","",W292-IF(M292="",0,M292))</f>
        <v/>
      </c>
      <c r="Y292" s="111">
        <f>IF(OR(X292="",H292="",H292=0),"",X292/H292)</f>
        <v/>
      </c>
      <c r="Z292" s="112">
        <f>IF(OR(I292="",J292="",U292=""),"",ABS(I292-J292)*U292)</f>
        <v/>
      </c>
      <c r="AA292" s="113">
        <f>IF(OR(X292="",Z292="",Z292=0),"",X292/Z292)</f>
        <v/>
      </c>
      <c r="AB292" s="114">
        <f>IF(OR(I292="",J292="",K292="",I292=J292),"",ABS(K292-I292)/ABS(I292-J292))</f>
        <v/>
      </c>
      <c r="AC292" s="51">
        <f>IF(OR(B292="",D292="",H292="",I292=""),"",IF(L292="","Ouvert",IF(X292&gt;0,"Gagné",IF(X292&lt;0,"Perdu","Neutre"))))</f>
        <v/>
      </c>
      <c r="AD292" s="115">
        <f>IF(X292="","",IF(C292="",B292,C292))</f>
        <v/>
      </c>
      <c r="AE292" s="109">
        <f>IF(B292="","",WEEKDAY(B292,2))</f>
        <v/>
      </c>
      <c r="AF292" s="112">
        <f>IF(X292="","",'Paramètres'!$C$9+SUM($X$6:X292))</f>
        <v/>
      </c>
      <c r="AG292" s="112">
        <f>IF(AF292="","",MAX('Paramètres'!$C$9,MAX($AF$6:AF292)))</f>
        <v/>
      </c>
      <c r="AH292" s="116">
        <f>IF(AF292="","",AF292/AG292-1)</f>
        <v/>
      </c>
      <c r="AI292" s="109">
        <f>IF(X292="","",IF(X292&gt;0,IF(N(AI291)&gt;0,N(AI291)+1,1),IF(X292&lt;0,IF(N(AI291)&lt;0,N(AI291)-1,-1),0)))</f>
        <v/>
      </c>
      <c r="AJ292" s="116">
        <f>IF(Z292="","",IFERROR(Z292/('Paramètres'!$C$9+SUM($X$5:X291)),""))</f>
        <v/>
      </c>
      <c r="AK292" s="109">
        <f>IF(AC292="Ouvert",COUNTIF($AC$6:AC292,"Ouvert"),"")</f>
        <v/>
      </c>
    </row>
    <row r="293" ht="19" customHeight="1">
      <c r="A293" s="104">
        <f>IF(B293="","",ROW()-5)</f>
        <v/>
      </c>
      <c r="B293" s="61" t="n"/>
      <c r="C293" s="61" t="n"/>
      <c r="D293" s="105" t="n"/>
      <c r="E293" s="49" t="n"/>
      <c r="F293" s="105" t="n"/>
      <c r="G293" s="49" t="n"/>
      <c r="H293" s="106" t="n"/>
      <c r="I293" s="107" t="n"/>
      <c r="J293" s="107" t="n"/>
      <c r="K293" s="107" t="n"/>
      <c r="L293" s="107" t="n"/>
      <c r="M293" s="106" t="n"/>
      <c r="N293" s="62" t="n"/>
      <c r="O293" s="49" t="n"/>
      <c r="P293" s="49" t="n"/>
      <c r="Q293" s="105" t="n"/>
      <c r="R293" s="105" t="n"/>
      <c r="S293" s="105" t="n"/>
      <c r="T293" s="105" t="n"/>
      <c r="U293" s="108">
        <f>IF(OR(H293="",I293="",I293=0),"",H293/I293)</f>
        <v/>
      </c>
      <c r="V293" s="109">
        <f>IF(OR(B293="",C293="",L293=""),"",MAX(0,C293-B293))</f>
        <v/>
      </c>
      <c r="W293" s="110">
        <f>IF(OR(L293="",U293=""),"",IF(E293="Short",(I293-L293)*U293,(L293-I293)*U293))</f>
        <v/>
      </c>
      <c r="X293" s="110">
        <f>IF(W293="","",W293-IF(M293="",0,M293))</f>
        <v/>
      </c>
      <c r="Y293" s="111">
        <f>IF(OR(X293="",H293="",H293=0),"",X293/H293)</f>
        <v/>
      </c>
      <c r="Z293" s="112">
        <f>IF(OR(I293="",J293="",U293=""),"",ABS(I293-J293)*U293)</f>
        <v/>
      </c>
      <c r="AA293" s="113">
        <f>IF(OR(X293="",Z293="",Z293=0),"",X293/Z293)</f>
        <v/>
      </c>
      <c r="AB293" s="114">
        <f>IF(OR(I293="",J293="",K293="",I293=J293),"",ABS(K293-I293)/ABS(I293-J293))</f>
        <v/>
      </c>
      <c r="AC293" s="51">
        <f>IF(OR(B293="",D293="",H293="",I293=""),"",IF(L293="","Ouvert",IF(X293&gt;0,"Gagné",IF(X293&lt;0,"Perdu","Neutre"))))</f>
        <v/>
      </c>
      <c r="AD293" s="115">
        <f>IF(X293="","",IF(C293="",B293,C293))</f>
        <v/>
      </c>
      <c r="AE293" s="109">
        <f>IF(B293="","",WEEKDAY(B293,2))</f>
        <v/>
      </c>
      <c r="AF293" s="112">
        <f>IF(X293="","",'Paramètres'!$C$9+SUM($X$6:X293))</f>
        <v/>
      </c>
      <c r="AG293" s="112">
        <f>IF(AF293="","",MAX('Paramètres'!$C$9,MAX($AF$6:AF293)))</f>
        <v/>
      </c>
      <c r="AH293" s="116">
        <f>IF(AF293="","",AF293/AG293-1)</f>
        <v/>
      </c>
      <c r="AI293" s="109">
        <f>IF(X293="","",IF(X293&gt;0,IF(N(AI292)&gt;0,N(AI292)+1,1),IF(X293&lt;0,IF(N(AI292)&lt;0,N(AI292)-1,-1),0)))</f>
        <v/>
      </c>
      <c r="AJ293" s="116">
        <f>IF(Z293="","",IFERROR(Z293/('Paramètres'!$C$9+SUM($X$5:X292)),""))</f>
        <v/>
      </c>
      <c r="AK293" s="109">
        <f>IF(AC293="Ouvert",COUNTIF($AC$6:AC293,"Ouvert"),"")</f>
        <v/>
      </c>
    </row>
    <row r="294" ht="19" customHeight="1">
      <c r="A294" s="104">
        <f>IF(B294="","",ROW()-5)</f>
        <v/>
      </c>
      <c r="B294" s="61" t="n"/>
      <c r="C294" s="61" t="n"/>
      <c r="D294" s="105" t="n"/>
      <c r="E294" s="49" t="n"/>
      <c r="F294" s="105" t="n"/>
      <c r="G294" s="49" t="n"/>
      <c r="H294" s="106" t="n"/>
      <c r="I294" s="107" t="n"/>
      <c r="J294" s="107" t="n"/>
      <c r="K294" s="107" t="n"/>
      <c r="L294" s="107" t="n"/>
      <c r="M294" s="106" t="n"/>
      <c r="N294" s="62" t="n"/>
      <c r="O294" s="49" t="n"/>
      <c r="P294" s="49" t="n"/>
      <c r="Q294" s="105" t="n"/>
      <c r="R294" s="105" t="n"/>
      <c r="S294" s="105" t="n"/>
      <c r="T294" s="105" t="n"/>
      <c r="U294" s="108">
        <f>IF(OR(H294="",I294="",I294=0),"",H294/I294)</f>
        <v/>
      </c>
      <c r="V294" s="109">
        <f>IF(OR(B294="",C294="",L294=""),"",MAX(0,C294-B294))</f>
        <v/>
      </c>
      <c r="W294" s="110">
        <f>IF(OR(L294="",U294=""),"",IF(E294="Short",(I294-L294)*U294,(L294-I294)*U294))</f>
        <v/>
      </c>
      <c r="X294" s="110">
        <f>IF(W294="","",W294-IF(M294="",0,M294))</f>
        <v/>
      </c>
      <c r="Y294" s="111">
        <f>IF(OR(X294="",H294="",H294=0),"",X294/H294)</f>
        <v/>
      </c>
      <c r="Z294" s="112">
        <f>IF(OR(I294="",J294="",U294=""),"",ABS(I294-J294)*U294)</f>
        <v/>
      </c>
      <c r="AA294" s="113">
        <f>IF(OR(X294="",Z294="",Z294=0),"",X294/Z294)</f>
        <v/>
      </c>
      <c r="AB294" s="114">
        <f>IF(OR(I294="",J294="",K294="",I294=J294),"",ABS(K294-I294)/ABS(I294-J294))</f>
        <v/>
      </c>
      <c r="AC294" s="51">
        <f>IF(OR(B294="",D294="",H294="",I294=""),"",IF(L294="","Ouvert",IF(X294&gt;0,"Gagné",IF(X294&lt;0,"Perdu","Neutre"))))</f>
        <v/>
      </c>
      <c r="AD294" s="115">
        <f>IF(X294="","",IF(C294="",B294,C294))</f>
        <v/>
      </c>
      <c r="AE294" s="109">
        <f>IF(B294="","",WEEKDAY(B294,2))</f>
        <v/>
      </c>
      <c r="AF294" s="112">
        <f>IF(X294="","",'Paramètres'!$C$9+SUM($X$6:X294))</f>
        <v/>
      </c>
      <c r="AG294" s="112">
        <f>IF(AF294="","",MAX('Paramètres'!$C$9,MAX($AF$6:AF294)))</f>
        <v/>
      </c>
      <c r="AH294" s="116">
        <f>IF(AF294="","",AF294/AG294-1)</f>
        <v/>
      </c>
      <c r="AI294" s="109">
        <f>IF(X294="","",IF(X294&gt;0,IF(N(AI293)&gt;0,N(AI293)+1,1),IF(X294&lt;0,IF(N(AI293)&lt;0,N(AI293)-1,-1),0)))</f>
        <v/>
      </c>
      <c r="AJ294" s="116">
        <f>IF(Z294="","",IFERROR(Z294/('Paramètres'!$C$9+SUM($X$5:X293)),""))</f>
        <v/>
      </c>
      <c r="AK294" s="109">
        <f>IF(AC294="Ouvert",COUNTIF($AC$6:AC294,"Ouvert"),"")</f>
        <v/>
      </c>
    </row>
    <row r="295" ht="19" customHeight="1">
      <c r="A295" s="104">
        <f>IF(B295="","",ROW()-5)</f>
        <v/>
      </c>
      <c r="B295" s="61" t="n"/>
      <c r="C295" s="61" t="n"/>
      <c r="D295" s="105" t="n"/>
      <c r="E295" s="49" t="n"/>
      <c r="F295" s="105" t="n"/>
      <c r="G295" s="49" t="n"/>
      <c r="H295" s="106" t="n"/>
      <c r="I295" s="107" t="n"/>
      <c r="J295" s="107" t="n"/>
      <c r="K295" s="107" t="n"/>
      <c r="L295" s="107" t="n"/>
      <c r="M295" s="106" t="n"/>
      <c r="N295" s="62" t="n"/>
      <c r="O295" s="49" t="n"/>
      <c r="P295" s="49" t="n"/>
      <c r="Q295" s="105" t="n"/>
      <c r="R295" s="105" t="n"/>
      <c r="S295" s="105" t="n"/>
      <c r="T295" s="105" t="n"/>
      <c r="U295" s="108">
        <f>IF(OR(H295="",I295="",I295=0),"",H295/I295)</f>
        <v/>
      </c>
      <c r="V295" s="109">
        <f>IF(OR(B295="",C295="",L295=""),"",MAX(0,C295-B295))</f>
        <v/>
      </c>
      <c r="W295" s="110">
        <f>IF(OR(L295="",U295=""),"",IF(E295="Short",(I295-L295)*U295,(L295-I295)*U295))</f>
        <v/>
      </c>
      <c r="X295" s="110">
        <f>IF(W295="","",W295-IF(M295="",0,M295))</f>
        <v/>
      </c>
      <c r="Y295" s="111">
        <f>IF(OR(X295="",H295="",H295=0),"",X295/H295)</f>
        <v/>
      </c>
      <c r="Z295" s="112">
        <f>IF(OR(I295="",J295="",U295=""),"",ABS(I295-J295)*U295)</f>
        <v/>
      </c>
      <c r="AA295" s="113">
        <f>IF(OR(X295="",Z295="",Z295=0),"",X295/Z295)</f>
        <v/>
      </c>
      <c r="AB295" s="114">
        <f>IF(OR(I295="",J295="",K295="",I295=J295),"",ABS(K295-I295)/ABS(I295-J295))</f>
        <v/>
      </c>
      <c r="AC295" s="51">
        <f>IF(OR(B295="",D295="",H295="",I295=""),"",IF(L295="","Ouvert",IF(X295&gt;0,"Gagné",IF(X295&lt;0,"Perdu","Neutre"))))</f>
        <v/>
      </c>
      <c r="AD295" s="115">
        <f>IF(X295="","",IF(C295="",B295,C295))</f>
        <v/>
      </c>
      <c r="AE295" s="109">
        <f>IF(B295="","",WEEKDAY(B295,2))</f>
        <v/>
      </c>
      <c r="AF295" s="112">
        <f>IF(X295="","",'Paramètres'!$C$9+SUM($X$6:X295))</f>
        <v/>
      </c>
      <c r="AG295" s="112">
        <f>IF(AF295="","",MAX('Paramètres'!$C$9,MAX($AF$6:AF295)))</f>
        <v/>
      </c>
      <c r="AH295" s="116">
        <f>IF(AF295="","",AF295/AG295-1)</f>
        <v/>
      </c>
      <c r="AI295" s="109">
        <f>IF(X295="","",IF(X295&gt;0,IF(N(AI294)&gt;0,N(AI294)+1,1),IF(X295&lt;0,IF(N(AI294)&lt;0,N(AI294)-1,-1),0)))</f>
        <v/>
      </c>
      <c r="AJ295" s="116">
        <f>IF(Z295="","",IFERROR(Z295/('Paramètres'!$C$9+SUM($X$5:X294)),""))</f>
        <v/>
      </c>
      <c r="AK295" s="109">
        <f>IF(AC295="Ouvert",COUNTIF($AC$6:AC295,"Ouvert"),"")</f>
        <v/>
      </c>
    </row>
    <row r="296" ht="19" customHeight="1">
      <c r="A296" s="104">
        <f>IF(B296="","",ROW()-5)</f>
        <v/>
      </c>
      <c r="B296" s="61" t="n"/>
      <c r="C296" s="61" t="n"/>
      <c r="D296" s="105" t="n"/>
      <c r="E296" s="49" t="n"/>
      <c r="F296" s="105" t="n"/>
      <c r="G296" s="49" t="n"/>
      <c r="H296" s="106" t="n"/>
      <c r="I296" s="107" t="n"/>
      <c r="J296" s="107" t="n"/>
      <c r="K296" s="107" t="n"/>
      <c r="L296" s="107" t="n"/>
      <c r="M296" s="106" t="n"/>
      <c r="N296" s="62" t="n"/>
      <c r="O296" s="49" t="n"/>
      <c r="P296" s="49" t="n"/>
      <c r="Q296" s="105" t="n"/>
      <c r="R296" s="105" t="n"/>
      <c r="S296" s="105" t="n"/>
      <c r="T296" s="105" t="n"/>
      <c r="U296" s="108">
        <f>IF(OR(H296="",I296="",I296=0),"",H296/I296)</f>
        <v/>
      </c>
      <c r="V296" s="109">
        <f>IF(OR(B296="",C296="",L296=""),"",MAX(0,C296-B296))</f>
        <v/>
      </c>
      <c r="W296" s="110">
        <f>IF(OR(L296="",U296=""),"",IF(E296="Short",(I296-L296)*U296,(L296-I296)*U296))</f>
        <v/>
      </c>
      <c r="X296" s="110">
        <f>IF(W296="","",W296-IF(M296="",0,M296))</f>
        <v/>
      </c>
      <c r="Y296" s="111">
        <f>IF(OR(X296="",H296="",H296=0),"",X296/H296)</f>
        <v/>
      </c>
      <c r="Z296" s="112">
        <f>IF(OR(I296="",J296="",U296=""),"",ABS(I296-J296)*U296)</f>
        <v/>
      </c>
      <c r="AA296" s="113">
        <f>IF(OR(X296="",Z296="",Z296=0),"",X296/Z296)</f>
        <v/>
      </c>
      <c r="AB296" s="114">
        <f>IF(OR(I296="",J296="",K296="",I296=J296),"",ABS(K296-I296)/ABS(I296-J296))</f>
        <v/>
      </c>
      <c r="AC296" s="51">
        <f>IF(OR(B296="",D296="",H296="",I296=""),"",IF(L296="","Ouvert",IF(X296&gt;0,"Gagné",IF(X296&lt;0,"Perdu","Neutre"))))</f>
        <v/>
      </c>
      <c r="AD296" s="115">
        <f>IF(X296="","",IF(C296="",B296,C296))</f>
        <v/>
      </c>
      <c r="AE296" s="109">
        <f>IF(B296="","",WEEKDAY(B296,2))</f>
        <v/>
      </c>
      <c r="AF296" s="112">
        <f>IF(X296="","",'Paramètres'!$C$9+SUM($X$6:X296))</f>
        <v/>
      </c>
      <c r="AG296" s="112">
        <f>IF(AF296="","",MAX('Paramètres'!$C$9,MAX($AF$6:AF296)))</f>
        <v/>
      </c>
      <c r="AH296" s="116">
        <f>IF(AF296="","",AF296/AG296-1)</f>
        <v/>
      </c>
      <c r="AI296" s="109">
        <f>IF(X296="","",IF(X296&gt;0,IF(N(AI295)&gt;0,N(AI295)+1,1),IF(X296&lt;0,IF(N(AI295)&lt;0,N(AI295)-1,-1),0)))</f>
        <v/>
      </c>
      <c r="AJ296" s="116">
        <f>IF(Z296="","",IFERROR(Z296/('Paramètres'!$C$9+SUM($X$5:X295)),""))</f>
        <v/>
      </c>
      <c r="AK296" s="109">
        <f>IF(AC296="Ouvert",COUNTIF($AC$6:AC296,"Ouvert"),"")</f>
        <v/>
      </c>
    </row>
    <row r="297" ht="19" customHeight="1">
      <c r="A297" s="104">
        <f>IF(B297="","",ROW()-5)</f>
        <v/>
      </c>
      <c r="B297" s="61" t="n"/>
      <c r="C297" s="61" t="n"/>
      <c r="D297" s="105" t="n"/>
      <c r="E297" s="49" t="n"/>
      <c r="F297" s="105" t="n"/>
      <c r="G297" s="49" t="n"/>
      <c r="H297" s="106" t="n"/>
      <c r="I297" s="107" t="n"/>
      <c r="J297" s="107" t="n"/>
      <c r="K297" s="107" t="n"/>
      <c r="L297" s="107" t="n"/>
      <c r="M297" s="106" t="n"/>
      <c r="N297" s="62" t="n"/>
      <c r="O297" s="49" t="n"/>
      <c r="P297" s="49" t="n"/>
      <c r="Q297" s="105" t="n"/>
      <c r="R297" s="105" t="n"/>
      <c r="S297" s="105" t="n"/>
      <c r="T297" s="105" t="n"/>
      <c r="U297" s="108">
        <f>IF(OR(H297="",I297="",I297=0),"",H297/I297)</f>
        <v/>
      </c>
      <c r="V297" s="109">
        <f>IF(OR(B297="",C297="",L297=""),"",MAX(0,C297-B297))</f>
        <v/>
      </c>
      <c r="W297" s="110">
        <f>IF(OR(L297="",U297=""),"",IF(E297="Short",(I297-L297)*U297,(L297-I297)*U297))</f>
        <v/>
      </c>
      <c r="X297" s="110">
        <f>IF(W297="","",W297-IF(M297="",0,M297))</f>
        <v/>
      </c>
      <c r="Y297" s="111">
        <f>IF(OR(X297="",H297="",H297=0),"",X297/H297)</f>
        <v/>
      </c>
      <c r="Z297" s="112">
        <f>IF(OR(I297="",J297="",U297=""),"",ABS(I297-J297)*U297)</f>
        <v/>
      </c>
      <c r="AA297" s="113">
        <f>IF(OR(X297="",Z297="",Z297=0),"",X297/Z297)</f>
        <v/>
      </c>
      <c r="AB297" s="114">
        <f>IF(OR(I297="",J297="",K297="",I297=J297),"",ABS(K297-I297)/ABS(I297-J297))</f>
        <v/>
      </c>
      <c r="AC297" s="51">
        <f>IF(OR(B297="",D297="",H297="",I297=""),"",IF(L297="","Ouvert",IF(X297&gt;0,"Gagné",IF(X297&lt;0,"Perdu","Neutre"))))</f>
        <v/>
      </c>
      <c r="AD297" s="115">
        <f>IF(X297="","",IF(C297="",B297,C297))</f>
        <v/>
      </c>
      <c r="AE297" s="109">
        <f>IF(B297="","",WEEKDAY(B297,2))</f>
        <v/>
      </c>
      <c r="AF297" s="112">
        <f>IF(X297="","",'Paramètres'!$C$9+SUM($X$6:X297))</f>
        <v/>
      </c>
      <c r="AG297" s="112">
        <f>IF(AF297="","",MAX('Paramètres'!$C$9,MAX($AF$6:AF297)))</f>
        <v/>
      </c>
      <c r="AH297" s="116">
        <f>IF(AF297="","",AF297/AG297-1)</f>
        <v/>
      </c>
      <c r="AI297" s="109">
        <f>IF(X297="","",IF(X297&gt;0,IF(N(AI296)&gt;0,N(AI296)+1,1),IF(X297&lt;0,IF(N(AI296)&lt;0,N(AI296)-1,-1),0)))</f>
        <v/>
      </c>
      <c r="AJ297" s="116">
        <f>IF(Z297="","",IFERROR(Z297/('Paramètres'!$C$9+SUM($X$5:X296)),""))</f>
        <v/>
      </c>
      <c r="AK297" s="109">
        <f>IF(AC297="Ouvert",COUNTIF($AC$6:AC297,"Ouvert"),"")</f>
        <v/>
      </c>
    </row>
    <row r="298" ht="19" customHeight="1">
      <c r="A298" s="104">
        <f>IF(B298="","",ROW()-5)</f>
        <v/>
      </c>
      <c r="B298" s="61" t="n"/>
      <c r="C298" s="61" t="n"/>
      <c r="D298" s="105" t="n"/>
      <c r="E298" s="49" t="n"/>
      <c r="F298" s="105" t="n"/>
      <c r="G298" s="49" t="n"/>
      <c r="H298" s="106" t="n"/>
      <c r="I298" s="107" t="n"/>
      <c r="J298" s="107" t="n"/>
      <c r="K298" s="107" t="n"/>
      <c r="L298" s="107" t="n"/>
      <c r="M298" s="106" t="n"/>
      <c r="N298" s="62" t="n"/>
      <c r="O298" s="49" t="n"/>
      <c r="P298" s="49" t="n"/>
      <c r="Q298" s="105" t="n"/>
      <c r="R298" s="105" t="n"/>
      <c r="S298" s="105" t="n"/>
      <c r="T298" s="105" t="n"/>
      <c r="U298" s="108">
        <f>IF(OR(H298="",I298="",I298=0),"",H298/I298)</f>
        <v/>
      </c>
      <c r="V298" s="109">
        <f>IF(OR(B298="",C298="",L298=""),"",MAX(0,C298-B298))</f>
        <v/>
      </c>
      <c r="W298" s="110">
        <f>IF(OR(L298="",U298=""),"",IF(E298="Short",(I298-L298)*U298,(L298-I298)*U298))</f>
        <v/>
      </c>
      <c r="X298" s="110">
        <f>IF(W298="","",W298-IF(M298="",0,M298))</f>
        <v/>
      </c>
      <c r="Y298" s="111">
        <f>IF(OR(X298="",H298="",H298=0),"",X298/H298)</f>
        <v/>
      </c>
      <c r="Z298" s="112">
        <f>IF(OR(I298="",J298="",U298=""),"",ABS(I298-J298)*U298)</f>
        <v/>
      </c>
      <c r="AA298" s="113">
        <f>IF(OR(X298="",Z298="",Z298=0),"",X298/Z298)</f>
        <v/>
      </c>
      <c r="AB298" s="114">
        <f>IF(OR(I298="",J298="",K298="",I298=J298),"",ABS(K298-I298)/ABS(I298-J298))</f>
        <v/>
      </c>
      <c r="AC298" s="51">
        <f>IF(OR(B298="",D298="",H298="",I298=""),"",IF(L298="","Ouvert",IF(X298&gt;0,"Gagné",IF(X298&lt;0,"Perdu","Neutre"))))</f>
        <v/>
      </c>
      <c r="AD298" s="115">
        <f>IF(X298="","",IF(C298="",B298,C298))</f>
        <v/>
      </c>
      <c r="AE298" s="109">
        <f>IF(B298="","",WEEKDAY(B298,2))</f>
        <v/>
      </c>
      <c r="AF298" s="112">
        <f>IF(X298="","",'Paramètres'!$C$9+SUM($X$6:X298))</f>
        <v/>
      </c>
      <c r="AG298" s="112">
        <f>IF(AF298="","",MAX('Paramètres'!$C$9,MAX($AF$6:AF298)))</f>
        <v/>
      </c>
      <c r="AH298" s="116">
        <f>IF(AF298="","",AF298/AG298-1)</f>
        <v/>
      </c>
      <c r="AI298" s="109">
        <f>IF(X298="","",IF(X298&gt;0,IF(N(AI297)&gt;0,N(AI297)+1,1),IF(X298&lt;0,IF(N(AI297)&lt;0,N(AI297)-1,-1),0)))</f>
        <v/>
      </c>
      <c r="AJ298" s="116">
        <f>IF(Z298="","",IFERROR(Z298/('Paramètres'!$C$9+SUM($X$5:X297)),""))</f>
        <v/>
      </c>
      <c r="AK298" s="109">
        <f>IF(AC298="Ouvert",COUNTIF($AC$6:AC298,"Ouvert"),"")</f>
        <v/>
      </c>
    </row>
    <row r="299" ht="19" customHeight="1">
      <c r="A299" s="104">
        <f>IF(B299="","",ROW()-5)</f>
        <v/>
      </c>
      <c r="B299" s="61" t="n"/>
      <c r="C299" s="61" t="n"/>
      <c r="D299" s="105" t="n"/>
      <c r="E299" s="49" t="n"/>
      <c r="F299" s="105" t="n"/>
      <c r="G299" s="49" t="n"/>
      <c r="H299" s="106" t="n"/>
      <c r="I299" s="107" t="n"/>
      <c r="J299" s="107" t="n"/>
      <c r="K299" s="107" t="n"/>
      <c r="L299" s="107" t="n"/>
      <c r="M299" s="106" t="n"/>
      <c r="N299" s="62" t="n"/>
      <c r="O299" s="49" t="n"/>
      <c r="P299" s="49" t="n"/>
      <c r="Q299" s="105" t="n"/>
      <c r="R299" s="105" t="n"/>
      <c r="S299" s="105" t="n"/>
      <c r="T299" s="105" t="n"/>
      <c r="U299" s="108">
        <f>IF(OR(H299="",I299="",I299=0),"",H299/I299)</f>
        <v/>
      </c>
      <c r="V299" s="109">
        <f>IF(OR(B299="",C299="",L299=""),"",MAX(0,C299-B299))</f>
        <v/>
      </c>
      <c r="W299" s="110">
        <f>IF(OR(L299="",U299=""),"",IF(E299="Short",(I299-L299)*U299,(L299-I299)*U299))</f>
        <v/>
      </c>
      <c r="X299" s="110">
        <f>IF(W299="","",W299-IF(M299="",0,M299))</f>
        <v/>
      </c>
      <c r="Y299" s="111">
        <f>IF(OR(X299="",H299="",H299=0),"",X299/H299)</f>
        <v/>
      </c>
      <c r="Z299" s="112">
        <f>IF(OR(I299="",J299="",U299=""),"",ABS(I299-J299)*U299)</f>
        <v/>
      </c>
      <c r="AA299" s="113">
        <f>IF(OR(X299="",Z299="",Z299=0),"",X299/Z299)</f>
        <v/>
      </c>
      <c r="AB299" s="114">
        <f>IF(OR(I299="",J299="",K299="",I299=J299),"",ABS(K299-I299)/ABS(I299-J299))</f>
        <v/>
      </c>
      <c r="AC299" s="51">
        <f>IF(OR(B299="",D299="",H299="",I299=""),"",IF(L299="","Ouvert",IF(X299&gt;0,"Gagné",IF(X299&lt;0,"Perdu","Neutre"))))</f>
        <v/>
      </c>
      <c r="AD299" s="115">
        <f>IF(X299="","",IF(C299="",B299,C299))</f>
        <v/>
      </c>
      <c r="AE299" s="109">
        <f>IF(B299="","",WEEKDAY(B299,2))</f>
        <v/>
      </c>
      <c r="AF299" s="112">
        <f>IF(X299="","",'Paramètres'!$C$9+SUM($X$6:X299))</f>
        <v/>
      </c>
      <c r="AG299" s="112">
        <f>IF(AF299="","",MAX('Paramètres'!$C$9,MAX($AF$6:AF299)))</f>
        <v/>
      </c>
      <c r="AH299" s="116">
        <f>IF(AF299="","",AF299/AG299-1)</f>
        <v/>
      </c>
      <c r="AI299" s="109">
        <f>IF(X299="","",IF(X299&gt;0,IF(N(AI298)&gt;0,N(AI298)+1,1),IF(X299&lt;0,IF(N(AI298)&lt;0,N(AI298)-1,-1),0)))</f>
        <v/>
      </c>
      <c r="AJ299" s="116">
        <f>IF(Z299="","",IFERROR(Z299/('Paramètres'!$C$9+SUM($X$5:X298)),""))</f>
        <v/>
      </c>
      <c r="AK299" s="109">
        <f>IF(AC299="Ouvert",COUNTIF($AC$6:AC299,"Ouvert"),"")</f>
        <v/>
      </c>
    </row>
    <row r="300" ht="19" customHeight="1">
      <c r="A300" s="104">
        <f>IF(B300="","",ROW()-5)</f>
        <v/>
      </c>
      <c r="B300" s="61" t="n"/>
      <c r="C300" s="61" t="n"/>
      <c r="D300" s="105" t="n"/>
      <c r="E300" s="49" t="n"/>
      <c r="F300" s="105" t="n"/>
      <c r="G300" s="49" t="n"/>
      <c r="H300" s="106" t="n"/>
      <c r="I300" s="107" t="n"/>
      <c r="J300" s="107" t="n"/>
      <c r="K300" s="107" t="n"/>
      <c r="L300" s="107" t="n"/>
      <c r="M300" s="106" t="n"/>
      <c r="N300" s="62" t="n"/>
      <c r="O300" s="49" t="n"/>
      <c r="P300" s="49" t="n"/>
      <c r="Q300" s="105" t="n"/>
      <c r="R300" s="105" t="n"/>
      <c r="S300" s="105" t="n"/>
      <c r="T300" s="105" t="n"/>
      <c r="U300" s="108">
        <f>IF(OR(H300="",I300="",I300=0),"",H300/I300)</f>
        <v/>
      </c>
      <c r="V300" s="109">
        <f>IF(OR(B300="",C300="",L300=""),"",MAX(0,C300-B300))</f>
        <v/>
      </c>
      <c r="W300" s="110">
        <f>IF(OR(L300="",U300=""),"",IF(E300="Short",(I300-L300)*U300,(L300-I300)*U300))</f>
        <v/>
      </c>
      <c r="X300" s="110">
        <f>IF(W300="","",W300-IF(M300="",0,M300))</f>
        <v/>
      </c>
      <c r="Y300" s="111">
        <f>IF(OR(X300="",H300="",H300=0),"",X300/H300)</f>
        <v/>
      </c>
      <c r="Z300" s="112">
        <f>IF(OR(I300="",J300="",U300=""),"",ABS(I300-J300)*U300)</f>
        <v/>
      </c>
      <c r="AA300" s="113">
        <f>IF(OR(X300="",Z300="",Z300=0),"",X300/Z300)</f>
        <v/>
      </c>
      <c r="AB300" s="114">
        <f>IF(OR(I300="",J300="",K300="",I300=J300),"",ABS(K300-I300)/ABS(I300-J300))</f>
        <v/>
      </c>
      <c r="AC300" s="51">
        <f>IF(OR(B300="",D300="",H300="",I300=""),"",IF(L300="","Ouvert",IF(X300&gt;0,"Gagné",IF(X300&lt;0,"Perdu","Neutre"))))</f>
        <v/>
      </c>
      <c r="AD300" s="115">
        <f>IF(X300="","",IF(C300="",B300,C300))</f>
        <v/>
      </c>
      <c r="AE300" s="109">
        <f>IF(B300="","",WEEKDAY(B300,2))</f>
        <v/>
      </c>
      <c r="AF300" s="112">
        <f>IF(X300="","",'Paramètres'!$C$9+SUM($X$6:X300))</f>
        <v/>
      </c>
      <c r="AG300" s="112">
        <f>IF(AF300="","",MAX('Paramètres'!$C$9,MAX($AF$6:AF300)))</f>
        <v/>
      </c>
      <c r="AH300" s="116">
        <f>IF(AF300="","",AF300/AG300-1)</f>
        <v/>
      </c>
      <c r="AI300" s="109">
        <f>IF(X300="","",IF(X300&gt;0,IF(N(AI299)&gt;0,N(AI299)+1,1),IF(X300&lt;0,IF(N(AI299)&lt;0,N(AI299)-1,-1),0)))</f>
        <v/>
      </c>
      <c r="AJ300" s="116">
        <f>IF(Z300="","",IFERROR(Z300/('Paramètres'!$C$9+SUM($X$5:X299)),""))</f>
        <v/>
      </c>
      <c r="AK300" s="109">
        <f>IF(AC300="Ouvert",COUNTIF($AC$6:AC300,"Ouvert"),"")</f>
        <v/>
      </c>
    </row>
    <row r="301" ht="19" customHeight="1">
      <c r="A301" s="104">
        <f>IF(B301="","",ROW()-5)</f>
        <v/>
      </c>
      <c r="B301" s="61" t="n"/>
      <c r="C301" s="61" t="n"/>
      <c r="D301" s="105" t="n"/>
      <c r="E301" s="49" t="n"/>
      <c r="F301" s="105" t="n"/>
      <c r="G301" s="49" t="n"/>
      <c r="H301" s="106" t="n"/>
      <c r="I301" s="107" t="n"/>
      <c r="J301" s="107" t="n"/>
      <c r="K301" s="107" t="n"/>
      <c r="L301" s="107" t="n"/>
      <c r="M301" s="106" t="n"/>
      <c r="N301" s="62" t="n"/>
      <c r="O301" s="49" t="n"/>
      <c r="P301" s="49" t="n"/>
      <c r="Q301" s="105" t="n"/>
      <c r="R301" s="105" t="n"/>
      <c r="S301" s="105" t="n"/>
      <c r="T301" s="105" t="n"/>
      <c r="U301" s="108">
        <f>IF(OR(H301="",I301="",I301=0),"",H301/I301)</f>
        <v/>
      </c>
      <c r="V301" s="109">
        <f>IF(OR(B301="",C301="",L301=""),"",MAX(0,C301-B301))</f>
        <v/>
      </c>
      <c r="W301" s="110">
        <f>IF(OR(L301="",U301=""),"",IF(E301="Short",(I301-L301)*U301,(L301-I301)*U301))</f>
        <v/>
      </c>
      <c r="X301" s="110">
        <f>IF(W301="","",W301-IF(M301="",0,M301))</f>
        <v/>
      </c>
      <c r="Y301" s="111">
        <f>IF(OR(X301="",H301="",H301=0),"",X301/H301)</f>
        <v/>
      </c>
      <c r="Z301" s="112">
        <f>IF(OR(I301="",J301="",U301=""),"",ABS(I301-J301)*U301)</f>
        <v/>
      </c>
      <c r="AA301" s="113">
        <f>IF(OR(X301="",Z301="",Z301=0),"",X301/Z301)</f>
        <v/>
      </c>
      <c r="AB301" s="114">
        <f>IF(OR(I301="",J301="",K301="",I301=J301),"",ABS(K301-I301)/ABS(I301-J301))</f>
        <v/>
      </c>
      <c r="AC301" s="51">
        <f>IF(OR(B301="",D301="",H301="",I301=""),"",IF(L301="","Ouvert",IF(X301&gt;0,"Gagné",IF(X301&lt;0,"Perdu","Neutre"))))</f>
        <v/>
      </c>
      <c r="AD301" s="115">
        <f>IF(X301="","",IF(C301="",B301,C301))</f>
        <v/>
      </c>
      <c r="AE301" s="109">
        <f>IF(B301="","",WEEKDAY(B301,2))</f>
        <v/>
      </c>
      <c r="AF301" s="112">
        <f>IF(X301="","",'Paramètres'!$C$9+SUM($X$6:X301))</f>
        <v/>
      </c>
      <c r="AG301" s="112">
        <f>IF(AF301="","",MAX('Paramètres'!$C$9,MAX($AF$6:AF301)))</f>
        <v/>
      </c>
      <c r="AH301" s="116">
        <f>IF(AF301="","",AF301/AG301-1)</f>
        <v/>
      </c>
      <c r="AI301" s="109">
        <f>IF(X301="","",IF(X301&gt;0,IF(N(AI300)&gt;0,N(AI300)+1,1),IF(X301&lt;0,IF(N(AI300)&lt;0,N(AI300)-1,-1),0)))</f>
        <v/>
      </c>
      <c r="AJ301" s="116">
        <f>IF(Z301="","",IFERROR(Z301/('Paramètres'!$C$9+SUM($X$5:X300)),""))</f>
        <v/>
      </c>
      <c r="AK301" s="109">
        <f>IF(AC301="Ouvert",COUNTIF($AC$6:AC301,"Ouvert"),"")</f>
        <v/>
      </c>
    </row>
    <row r="302" ht="19" customHeight="1">
      <c r="A302" s="104">
        <f>IF(B302="","",ROW()-5)</f>
        <v/>
      </c>
      <c r="B302" s="61" t="n"/>
      <c r="C302" s="61" t="n"/>
      <c r="D302" s="105" t="n"/>
      <c r="E302" s="49" t="n"/>
      <c r="F302" s="105" t="n"/>
      <c r="G302" s="49" t="n"/>
      <c r="H302" s="106" t="n"/>
      <c r="I302" s="107" t="n"/>
      <c r="J302" s="107" t="n"/>
      <c r="K302" s="107" t="n"/>
      <c r="L302" s="107" t="n"/>
      <c r="M302" s="106" t="n"/>
      <c r="N302" s="62" t="n"/>
      <c r="O302" s="49" t="n"/>
      <c r="P302" s="49" t="n"/>
      <c r="Q302" s="105" t="n"/>
      <c r="R302" s="105" t="n"/>
      <c r="S302" s="105" t="n"/>
      <c r="T302" s="105" t="n"/>
      <c r="U302" s="108">
        <f>IF(OR(H302="",I302="",I302=0),"",H302/I302)</f>
        <v/>
      </c>
      <c r="V302" s="109">
        <f>IF(OR(B302="",C302="",L302=""),"",MAX(0,C302-B302))</f>
        <v/>
      </c>
      <c r="W302" s="110">
        <f>IF(OR(L302="",U302=""),"",IF(E302="Short",(I302-L302)*U302,(L302-I302)*U302))</f>
        <v/>
      </c>
      <c r="X302" s="110">
        <f>IF(W302="","",W302-IF(M302="",0,M302))</f>
        <v/>
      </c>
      <c r="Y302" s="111">
        <f>IF(OR(X302="",H302="",H302=0),"",X302/H302)</f>
        <v/>
      </c>
      <c r="Z302" s="112">
        <f>IF(OR(I302="",J302="",U302=""),"",ABS(I302-J302)*U302)</f>
        <v/>
      </c>
      <c r="AA302" s="113">
        <f>IF(OR(X302="",Z302="",Z302=0),"",X302/Z302)</f>
        <v/>
      </c>
      <c r="AB302" s="114">
        <f>IF(OR(I302="",J302="",K302="",I302=J302),"",ABS(K302-I302)/ABS(I302-J302))</f>
        <v/>
      </c>
      <c r="AC302" s="51">
        <f>IF(OR(B302="",D302="",H302="",I302=""),"",IF(L302="","Ouvert",IF(X302&gt;0,"Gagné",IF(X302&lt;0,"Perdu","Neutre"))))</f>
        <v/>
      </c>
      <c r="AD302" s="115">
        <f>IF(X302="","",IF(C302="",B302,C302))</f>
        <v/>
      </c>
      <c r="AE302" s="109">
        <f>IF(B302="","",WEEKDAY(B302,2))</f>
        <v/>
      </c>
      <c r="AF302" s="112">
        <f>IF(X302="","",'Paramètres'!$C$9+SUM($X$6:X302))</f>
        <v/>
      </c>
      <c r="AG302" s="112">
        <f>IF(AF302="","",MAX('Paramètres'!$C$9,MAX($AF$6:AF302)))</f>
        <v/>
      </c>
      <c r="AH302" s="116">
        <f>IF(AF302="","",AF302/AG302-1)</f>
        <v/>
      </c>
      <c r="AI302" s="109">
        <f>IF(X302="","",IF(X302&gt;0,IF(N(AI301)&gt;0,N(AI301)+1,1),IF(X302&lt;0,IF(N(AI301)&lt;0,N(AI301)-1,-1),0)))</f>
        <v/>
      </c>
      <c r="AJ302" s="116">
        <f>IF(Z302="","",IFERROR(Z302/('Paramètres'!$C$9+SUM($X$5:X301)),""))</f>
        <v/>
      </c>
      <c r="AK302" s="109">
        <f>IF(AC302="Ouvert",COUNTIF($AC$6:AC302,"Ouvert"),"")</f>
        <v/>
      </c>
    </row>
    <row r="303" ht="19" customHeight="1">
      <c r="A303" s="104">
        <f>IF(B303="","",ROW()-5)</f>
        <v/>
      </c>
      <c r="B303" s="61" t="n"/>
      <c r="C303" s="61" t="n"/>
      <c r="D303" s="105" t="n"/>
      <c r="E303" s="49" t="n"/>
      <c r="F303" s="105" t="n"/>
      <c r="G303" s="49" t="n"/>
      <c r="H303" s="106" t="n"/>
      <c r="I303" s="107" t="n"/>
      <c r="J303" s="107" t="n"/>
      <c r="K303" s="107" t="n"/>
      <c r="L303" s="107" t="n"/>
      <c r="M303" s="106" t="n"/>
      <c r="N303" s="62" t="n"/>
      <c r="O303" s="49" t="n"/>
      <c r="P303" s="49" t="n"/>
      <c r="Q303" s="105" t="n"/>
      <c r="R303" s="105" t="n"/>
      <c r="S303" s="105" t="n"/>
      <c r="T303" s="105" t="n"/>
      <c r="U303" s="108">
        <f>IF(OR(H303="",I303="",I303=0),"",H303/I303)</f>
        <v/>
      </c>
      <c r="V303" s="109">
        <f>IF(OR(B303="",C303="",L303=""),"",MAX(0,C303-B303))</f>
        <v/>
      </c>
      <c r="W303" s="110">
        <f>IF(OR(L303="",U303=""),"",IF(E303="Short",(I303-L303)*U303,(L303-I303)*U303))</f>
        <v/>
      </c>
      <c r="X303" s="110">
        <f>IF(W303="","",W303-IF(M303="",0,M303))</f>
        <v/>
      </c>
      <c r="Y303" s="111">
        <f>IF(OR(X303="",H303="",H303=0),"",X303/H303)</f>
        <v/>
      </c>
      <c r="Z303" s="112">
        <f>IF(OR(I303="",J303="",U303=""),"",ABS(I303-J303)*U303)</f>
        <v/>
      </c>
      <c r="AA303" s="113">
        <f>IF(OR(X303="",Z303="",Z303=0),"",X303/Z303)</f>
        <v/>
      </c>
      <c r="AB303" s="114">
        <f>IF(OR(I303="",J303="",K303="",I303=J303),"",ABS(K303-I303)/ABS(I303-J303))</f>
        <v/>
      </c>
      <c r="AC303" s="51">
        <f>IF(OR(B303="",D303="",H303="",I303=""),"",IF(L303="","Ouvert",IF(X303&gt;0,"Gagné",IF(X303&lt;0,"Perdu","Neutre"))))</f>
        <v/>
      </c>
      <c r="AD303" s="115">
        <f>IF(X303="","",IF(C303="",B303,C303))</f>
        <v/>
      </c>
      <c r="AE303" s="109">
        <f>IF(B303="","",WEEKDAY(B303,2))</f>
        <v/>
      </c>
      <c r="AF303" s="112">
        <f>IF(X303="","",'Paramètres'!$C$9+SUM($X$6:X303))</f>
        <v/>
      </c>
      <c r="AG303" s="112">
        <f>IF(AF303="","",MAX('Paramètres'!$C$9,MAX($AF$6:AF303)))</f>
        <v/>
      </c>
      <c r="AH303" s="116">
        <f>IF(AF303="","",AF303/AG303-1)</f>
        <v/>
      </c>
      <c r="AI303" s="109">
        <f>IF(X303="","",IF(X303&gt;0,IF(N(AI302)&gt;0,N(AI302)+1,1),IF(X303&lt;0,IF(N(AI302)&lt;0,N(AI302)-1,-1),0)))</f>
        <v/>
      </c>
      <c r="AJ303" s="116">
        <f>IF(Z303="","",IFERROR(Z303/('Paramètres'!$C$9+SUM($X$5:X302)),""))</f>
        <v/>
      </c>
      <c r="AK303" s="109">
        <f>IF(AC303="Ouvert",COUNTIF($AC$6:AC303,"Ouvert"),"")</f>
        <v/>
      </c>
    </row>
    <row r="304" ht="19" customHeight="1">
      <c r="A304" s="104">
        <f>IF(B304="","",ROW()-5)</f>
        <v/>
      </c>
      <c r="B304" s="61" t="n"/>
      <c r="C304" s="61" t="n"/>
      <c r="D304" s="105" t="n"/>
      <c r="E304" s="49" t="n"/>
      <c r="F304" s="105" t="n"/>
      <c r="G304" s="49" t="n"/>
      <c r="H304" s="106" t="n"/>
      <c r="I304" s="107" t="n"/>
      <c r="J304" s="107" t="n"/>
      <c r="K304" s="107" t="n"/>
      <c r="L304" s="107" t="n"/>
      <c r="M304" s="106" t="n"/>
      <c r="N304" s="62" t="n"/>
      <c r="O304" s="49" t="n"/>
      <c r="P304" s="49" t="n"/>
      <c r="Q304" s="105" t="n"/>
      <c r="R304" s="105" t="n"/>
      <c r="S304" s="105" t="n"/>
      <c r="T304" s="105" t="n"/>
      <c r="U304" s="108">
        <f>IF(OR(H304="",I304="",I304=0),"",H304/I304)</f>
        <v/>
      </c>
      <c r="V304" s="109">
        <f>IF(OR(B304="",C304="",L304=""),"",MAX(0,C304-B304))</f>
        <v/>
      </c>
      <c r="W304" s="110">
        <f>IF(OR(L304="",U304=""),"",IF(E304="Short",(I304-L304)*U304,(L304-I304)*U304))</f>
        <v/>
      </c>
      <c r="X304" s="110">
        <f>IF(W304="","",W304-IF(M304="",0,M304))</f>
        <v/>
      </c>
      <c r="Y304" s="111">
        <f>IF(OR(X304="",H304="",H304=0),"",X304/H304)</f>
        <v/>
      </c>
      <c r="Z304" s="112">
        <f>IF(OR(I304="",J304="",U304=""),"",ABS(I304-J304)*U304)</f>
        <v/>
      </c>
      <c r="AA304" s="113">
        <f>IF(OR(X304="",Z304="",Z304=0),"",X304/Z304)</f>
        <v/>
      </c>
      <c r="AB304" s="114">
        <f>IF(OR(I304="",J304="",K304="",I304=J304),"",ABS(K304-I304)/ABS(I304-J304))</f>
        <v/>
      </c>
      <c r="AC304" s="51">
        <f>IF(OR(B304="",D304="",H304="",I304=""),"",IF(L304="","Ouvert",IF(X304&gt;0,"Gagné",IF(X304&lt;0,"Perdu","Neutre"))))</f>
        <v/>
      </c>
      <c r="AD304" s="115">
        <f>IF(X304="","",IF(C304="",B304,C304))</f>
        <v/>
      </c>
      <c r="AE304" s="109">
        <f>IF(B304="","",WEEKDAY(B304,2))</f>
        <v/>
      </c>
      <c r="AF304" s="112">
        <f>IF(X304="","",'Paramètres'!$C$9+SUM($X$6:X304))</f>
        <v/>
      </c>
      <c r="AG304" s="112">
        <f>IF(AF304="","",MAX('Paramètres'!$C$9,MAX($AF$6:AF304)))</f>
        <v/>
      </c>
      <c r="AH304" s="116">
        <f>IF(AF304="","",AF304/AG304-1)</f>
        <v/>
      </c>
      <c r="AI304" s="109">
        <f>IF(X304="","",IF(X304&gt;0,IF(N(AI303)&gt;0,N(AI303)+1,1),IF(X304&lt;0,IF(N(AI303)&lt;0,N(AI303)-1,-1),0)))</f>
        <v/>
      </c>
      <c r="AJ304" s="116">
        <f>IF(Z304="","",IFERROR(Z304/('Paramètres'!$C$9+SUM($X$5:X303)),""))</f>
        <v/>
      </c>
      <c r="AK304" s="109">
        <f>IF(AC304="Ouvert",COUNTIF($AC$6:AC304,"Ouvert"),"")</f>
        <v/>
      </c>
    </row>
    <row r="305" ht="19" customHeight="1">
      <c r="A305" s="104">
        <f>IF(B305="","",ROW()-5)</f>
        <v/>
      </c>
      <c r="B305" s="61" t="n"/>
      <c r="C305" s="61" t="n"/>
      <c r="D305" s="105" t="n"/>
      <c r="E305" s="49" t="n"/>
      <c r="F305" s="105" t="n"/>
      <c r="G305" s="49" t="n"/>
      <c r="H305" s="106" t="n"/>
      <c r="I305" s="107" t="n"/>
      <c r="J305" s="107" t="n"/>
      <c r="K305" s="107" t="n"/>
      <c r="L305" s="107" t="n"/>
      <c r="M305" s="106" t="n"/>
      <c r="N305" s="62" t="n"/>
      <c r="O305" s="49" t="n"/>
      <c r="P305" s="49" t="n"/>
      <c r="Q305" s="105" t="n"/>
      <c r="R305" s="105" t="n"/>
      <c r="S305" s="105" t="n"/>
      <c r="T305" s="105" t="n"/>
      <c r="U305" s="108">
        <f>IF(OR(H305="",I305="",I305=0),"",H305/I305)</f>
        <v/>
      </c>
      <c r="V305" s="109">
        <f>IF(OR(B305="",C305="",L305=""),"",MAX(0,C305-B305))</f>
        <v/>
      </c>
      <c r="W305" s="110">
        <f>IF(OR(L305="",U305=""),"",IF(E305="Short",(I305-L305)*U305,(L305-I305)*U305))</f>
        <v/>
      </c>
      <c r="X305" s="110">
        <f>IF(W305="","",W305-IF(M305="",0,M305))</f>
        <v/>
      </c>
      <c r="Y305" s="111">
        <f>IF(OR(X305="",H305="",H305=0),"",X305/H305)</f>
        <v/>
      </c>
      <c r="Z305" s="112">
        <f>IF(OR(I305="",J305="",U305=""),"",ABS(I305-J305)*U305)</f>
        <v/>
      </c>
      <c r="AA305" s="113">
        <f>IF(OR(X305="",Z305="",Z305=0),"",X305/Z305)</f>
        <v/>
      </c>
      <c r="AB305" s="114">
        <f>IF(OR(I305="",J305="",K305="",I305=J305),"",ABS(K305-I305)/ABS(I305-J305))</f>
        <v/>
      </c>
      <c r="AC305" s="51">
        <f>IF(OR(B305="",D305="",H305="",I305=""),"",IF(L305="","Ouvert",IF(X305&gt;0,"Gagné",IF(X305&lt;0,"Perdu","Neutre"))))</f>
        <v/>
      </c>
      <c r="AD305" s="115">
        <f>IF(X305="","",IF(C305="",B305,C305))</f>
        <v/>
      </c>
      <c r="AE305" s="109">
        <f>IF(B305="","",WEEKDAY(B305,2))</f>
        <v/>
      </c>
      <c r="AF305" s="112">
        <f>IF(X305="","",'Paramètres'!$C$9+SUM($X$6:X305))</f>
        <v/>
      </c>
      <c r="AG305" s="112">
        <f>IF(AF305="","",MAX('Paramètres'!$C$9,MAX($AF$6:AF305)))</f>
        <v/>
      </c>
      <c r="AH305" s="116">
        <f>IF(AF305="","",AF305/AG305-1)</f>
        <v/>
      </c>
      <c r="AI305" s="109">
        <f>IF(X305="","",IF(X305&gt;0,IF(N(AI304)&gt;0,N(AI304)+1,1),IF(X305&lt;0,IF(N(AI304)&lt;0,N(AI304)-1,-1),0)))</f>
        <v/>
      </c>
      <c r="AJ305" s="116">
        <f>IF(Z305="","",IFERROR(Z305/('Paramètres'!$C$9+SUM($X$5:X304)),""))</f>
        <v/>
      </c>
      <c r="AK305" s="109">
        <f>IF(AC305="Ouvert",COUNTIF($AC$6:AC305,"Ouvert"),"")</f>
        <v/>
      </c>
    </row>
    <row r="306" ht="19" customHeight="1">
      <c r="A306" s="104">
        <f>IF(B306="","",ROW()-5)</f>
        <v/>
      </c>
      <c r="B306" s="61" t="n"/>
      <c r="C306" s="61" t="n"/>
      <c r="D306" s="105" t="n"/>
      <c r="E306" s="49" t="n"/>
      <c r="F306" s="105" t="n"/>
      <c r="G306" s="49" t="n"/>
      <c r="H306" s="106" t="n"/>
      <c r="I306" s="107" t="n"/>
      <c r="J306" s="107" t="n"/>
      <c r="K306" s="107" t="n"/>
      <c r="L306" s="107" t="n"/>
      <c r="M306" s="106" t="n"/>
      <c r="N306" s="62" t="n"/>
      <c r="O306" s="49" t="n"/>
      <c r="P306" s="49" t="n"/>
      <c r="Q306" s="105" t="n"/>
      <c r="R306" s="105" t="n"/>
      <c r="S306" s="105" t="n"/>
      <c r="T306" s="105" t="n"/>
      <c r="U306" s="108">
        <f>IF(OR(H306="",I306="",I306=0),"",H306/I306)</f>
        <v/>
      </c>
      <c r="V306" s="109">
        <f>IF(OR(B306="",C306="",L306=""),"",MAX(0,C306-B306))</f>
        <v/>
      </c>
      <c r="W306" s="110">
        <f>IF(OR(L306="",U306=""),"",IF(E306="Short",(I306-L306)*U306,(L306-I306)*U306))</f>
        <v/>
      </c>
      <c r="X306" s="110">
        <f>IF(W306="","",W306-IF(M306="",0,M306))</f>
        <v/>
      </c>
      <c r="Y306" s="111">
        <f>IF(OR(X306="",H306="",H306=0),"",X306/H306)</f>
        <v/>
      </c>
      <c r="Z306" s="112">
        <f>IF(OR(I306="",J306="",U306=""),"",ABS(I306-J306)*U306)</f>
        <v/>
      </c>
      <c r="AA306" s="113">
        <f>IF(OR(X306="",Z306="",Z306=0),"",X306/Z306)</f>
        <v/>
      </c>
      <c r="AB306" s="114">
        <f>IF(OR(I306="",J306="",K306="",I306=J306),"",ABS(K306-I306)/ABS(I306-J306))</f>
        <v/>
      </c>
      <c r="AC306" s="51">
        <f>IF(OR(B306="",D306="",H306="",I306=""),"",IF(L306="","Ouvert",IF(X306&gt;0,"Gagné",IF(X306&lt;0,"Perdu","Neutre"))))</f>
        <v/>
      </c>
      <c r="AD306" s="115">
        <f>IF(X306="","",IF(C306="",B306,C306))</f>
        <v/>
      </c>
      <c r="AE306" s="109">
        <f>IF(B306="","",WEEKDAY(B306,2))</f>
        <v/>
      </c>
      <c r="AF306" s="112">
        <f>IF(X306="","",'Paramètres'!$C$9+SUM($X$6:X306))</f>
        <v/>
      </c>
      <c r="AG306" s="112">
        <f>IF(AF306="","",MAX('Paramètres'!$C$9,MAX($AF$6:AF306)))</f>
        <v/>
      </c>
      <c r="AH306" s="116">
        <f>IF(AF306="","",AF306/AG306-1)</f>
        <v/>
      </c>
      <c r="AI306" s="109">
        <f>IF(X306="","",IF(X306&gt;0,IF(N(AI305)&gt;0,N(AI305)+1,1),IF(X306&lt;0,IF(N(AI305)&lt;0,N(AI305)-1,-1),0)))</f>
        <v/>
      </c>
      <c r="AJ306" s="116">
        <f>IF(Z306="","",IFERROR(Z306/('Paramètres'!$C$9+SUM($X$5:X305)),""))</f>
        <v/>
      </c>
      <c r="AK306" s="109">
        <f>IF(AC306="Ouvert",COUNTIF($AC$6:AC306,"Ouvert"),"")</f>
        <v/>
      </c>
    </row>
    <row r="307" ht="19" customHeight="1">
      <c r="A307" s="104">
        <f>IF(B307="","",ROW()-5)</f>
        <v/>
      </c>
      <c r="B307" s="61" t="n"/>
      <c r="C307" s="61" t="n"/>
      <c r="D307" s="105" t="n"/>
      <c r="E307" s="49" t="n"/>
      <c r="F307" s="105" t="n"/>
      <c r="G307" s="49" t="n"/>
      <c r="H307" s="106" t="n"/>
      <c r="I307" s="107" t="n"/>
      <c r="J307" s="107" t="n"/>
      <c r="K307" s="107" t="n"/>
      <c r="L307" s="107" t="n"/>
      <c r="M307" s="106" t="n"/>
      <c r="N307" s="62" t="n"/>
      <c r="O307" s="49" t="n"/>
      <c r="P307" s="49" t="n"/>
      <c r="Q307" s="105" t="n"/>
      <c r="R307" s="105" t="n"/>
      <c r="S307" s="105" t="n"/>
      <c r="T307" s="105" t="n"/>
      <c r="U307" s="108">
        <f>IF(OR(H307="",I307="",I307=0),"",H307/I307)</f>
        <v/>
      </c>
      <c r="V307" s="109">
        <f>IF(OR(B307="",C307="",L307=""),"",MAX(0,C307-B307))</f>
        <v/>
      </c>
      <c r="W307" s="110">
        <f>IF(OR(L307="",U307=""),"",IF(E307="Short",(I307-L307)*U307,(L307-I307)*U307))</f>
        <v/>
      </c>
      <c r="X307" s="110">
        <f>IF(W307="","",W307-IF(M307="",0,M307))</f>
        <v/>
      </c>
      <c r="Y307" s="111">
        <f>IF(OR(X307="",H307="",H307=0),"",X307/H307)</f>
        <v/>
      </c>
      <c r="Z307" s="112">
        <f>IF(OR(I307="",J307="",U307=""),"",ABS(I307-J307)*U307)</f>
        <v/>
      </c>
      <c r="AA307" s="113">
        <f>IF(OR(X307="",Z307="",Z307=0),"",X307/Z307)</f>
        <v/>
      </c>
      <c r="AB307" s="114">
        <f>IF(OR(I307="",J307="",K307="",I307=J307),"",ABS(K307-I307)/ABS(I307-J307))</f>
        <v/>
      </c>
      <c r="AC307" s="51">
        <f>IF(OR(B307="",D307="",H307="",I307=""),"",IF(L307="","Ouvert",IF(X307&gt;0,"Gagné",IF(X307&lt;0,"Perdu","Neutre"))))</f>
        <v/>
      </c>
      <c r="AD307" s="115">
        <f>IF(X307="","",IF(C307="",B307,C307))</f>
        <v/>
      </c>
      <c r="AE307" s="109">
        <f>IF(B307="","",WEEKDAY(B307,2))</f>
        <v/>
      </c>
      <c r="AF307" s="112">
        <f>IF(X307="","",'Paramètres'!$C$9+SUM($X$6:X307))</f>
        <v/>
      </c>
      <c r="AG307" s="112">
        <f>IF(AF307="","",MAX('Paramètres'!$C$9,MAX($AF$6:AF307)))</f>
        <v/>
      </c>
      <c r="AH307" s="116">
        <f>IF(AF307="","",AF307/AG307-1)</f>
        <v/>
      </c>
      <c r="AI307" s="109">
        <f>IF(X307="","",IF(X307&gt;0,IF(N(AI306)&gt;0,N(AI306)+1,1),IF(X307&lt;0,IF(N(AI306)&lt;0,N(AI306)-1,-1),0)))</f>
        <v/>
      </c>
      <c r="AJ307" s="116">
        <f>IF(Z307="","",IFERROR(Z307/('Paramètres'!$C$9+SUM($X$5:X306)),""))</f>
        <v/>
      </c>
      <c r="AK307" s="109">
        <f>IF(AC307="Ouvert",COUNTIF($AC$6:AC307,"Ouvert"),"")</f>
        <v/>
      </c>
    </row>
    <row r="308" ht="19" customHeight="1">
      <c r="A308" s="104">
        <f>IF(B308="","",ROW()-5)</f>
        <v/>
      </c>
      <c r="B308" s="61" t="n"/>
      <c r="C308" s="61" t="n"/>
      <c r="D308" s="105" t="n"/>
      <c r="E308" s="49" t="n"/>
      <c r="F308" s="105" t="n"/>
      <c r="G308" s="49" t="n"/>
      <c r="H308" s="106" t="n"/>
      <c r="I308" s="107" t="n"/>
      <c r="J308" s="107" t="n"/>
      <c r="K308" s="107" t="n"/>
      <c r="L308" s="107" t="n"/>
      <c r="M308" s="106" t="n"/>
      <c r="N308" s="62" t="n"/>
      <c r="O308" s="49" t="n"/>
      <c r="P308" s="49" t="n"/>
      <c r="Q308" s="105" t="n"/>
      <c r="R308" s="105" t="n"/>
      <c r="S308" s="105" t="n"/>
      <c r="T308" s="105" t="n"/>
      <c r="U308" s="108">
        <f>IF(OR(H308="",I308="",I308=0),"",H308/I308)</f>
        <v/>
      </c>
      <c r="V308" s="109">
        <f>IF(OR(B308="",C308="",L308=""),"",MAX(0,C308-B308))</f>
        <v/>
      </c>
      <c r="W308" s="110">
        <f>IF(OR(L308="",U308=""),"",IF(E308="Short",(I308-L308)*U308,(L308-I308)*U308))</f>
        <v/>
      </c>
      <c r="X308" s="110">
        <f>IF(W308="","",W308-IF(M308="",0,M308))</f>
        <v/>
      </c>
      <c r="Y308" s="111">
        <f>IF(OR(X308="",H308="",H308=0),"",X308/H308)</f>
        <v/>
      </c>
      <c r="Z308" s="112">
        <f>IF(OR(I308="",J308="",U308=""),"",ABS(I308-J308)*U308)</f>
        <v/>
      </c>
      <c r="AA308" s="113">
        <f>IF(OR(X308="",Z308="",Z308=0),"",X308/Z308)</f>
        <v/>
      </c>
      <c r="AB308" s="114">
        <f>IF(OR(I308="",J308="",K308="",I308=J308),"",ABS(K308-I308)/ABS(I308-J308))</f>
        <v/>
      </c>
      <c r="AC308" s="51">
        <f>IF(OR(B308="",D308="",H308="",I308=""),"",IF(L308="","Ouvert",IF(X308&gt;0,"Gagné",IF(X308&lt;0,"Perdu","Neutre"))))</f>
        <v/>
      </c>
      <c r="AD308" s="115">
        <f>IF(X308="","",IF(C308="",B308,C308))</f>
        <v/>
      </c>
      <c r="AE308" s="109">
        <f>IF(B308="","",WEEKDAY(B308,2))</f>
        <v/>
      </c>
      <c r="AF308" s="112">
        <f>IF(X308="","",'Paramètres'!$C$9+SUM($X$6:X308))</f>
        <v/>
      </c>
      <c r="AG308" s="112">
        <f>IF(AF308="","",MAX('Paramètres'!$C$9,MAX($AF$6:AF308)))</f>
        <v/>
      </c>
      <c r="AH308" s="116">
        <f>IF(AF308="","",AF308/AG308-1)</f>
        <v/>
      </c>
      <c r="AI308" s="109">
        <f>IF(X308="","",IF(X308&gt;0,IF(N(AI307)&gt;0,N(AI307)+1,1),IF(X308&lt;0,IF(N(AI307)&lt;0,N(AI307)-1,-1),0)))</f>
        <v/>
      </c>
      <c r="AJ308" s="116">
        <f>IF(Z308="","",IFERROR(Z308/('Paramètres'!$C$9+SUM($X$5:X307)),""))</f>
        <v/>
      </c>
      <c r="AK308" s="109">
        <f>IF(AC308="Ouvert",COUNTIF($AC$6:AC308,"Ouvert"),"")</f>
        <v/>
      </c>
    </row>
    <row r="309" ht="19" customHeight="1">
      <c r="A309" s="104">
        <f>IF(B309="","",ROW()-5)</f>
        <v/>
      </c>
      <c r="B309" s="61" t="n"/>
      <c r="C309" s="61" t="n"/>
      <c r="D309" s="105" t="n"/>
      <c r="E309" s="49" t="n"/>
      <c r="F309" s="105" t="n"/>
      <c r="G309" s="49" t="n"/>
      <c r="H309" s="106" t="n"/>
      <c r="I309" s="107" t="n"/>
      <c r="J309" s="107" t="n"/>
      <c r="K309" s="107" t="n"/>
      <c r="L309" s="107" t="n"/>
      <c r="M309" s="106" t="n"/>
      <c r="N309" s="62" t="n"/>
      <c r="O309" s="49" t="n"/>
      <c r="P309" s="49" t="n"/>
      <c r="Q309" s="105" t="n"/>
      <c r="R309" s="105" t="n"/>
      <c r="S309" s="105" t="n"/>
      <c r="T309" s="105" t="n"/>
      <c r="U309" s="108">
        <f>IF(OR(H309="",I309="",I309=0),"",H309/I309)</f>
        <v/>
      </c>
      <c r="V309" s="109">
        <f>IF(OR(B309="",C309="",L309=""),"",MAX(0,C309-B309))</f>
        <v/>
      </c>
      <c r="W309" s="110">
        <f>IF(OR(L309="",U309=""),"",IF(E309="Short",(I309-L309)*U309,(L309-I309)*U309))</f>
        <v/>
      </c>
      <c r="X309" s="110">
        <f>IF(W309="","",W309-IF(M309="",0,M309))</f>
        <v/>
      </c>
      <c r="Y309" s="111">
        <f>IF(OR(X309="",H309="",H309=0),"",X309/H309)</f>
        <v/>
      </c>
      <c r="Z309" s="112">
        <f>IF(OR(I309="",J309="",U309=""),"",ABS(I309-J309)*U309)</f>
        <v/>
      </c>
      <c r="AA309" s="113">
        <f>IF(OR(X309="",Z309="",Z309=0),"",X309/Z309)</f>
        <v/>
      </c>
      <c r="AB309" s="114">
        <f>IF(OR(I309="",J309="",K309="",I309=J309),"",ABS(K309-I309)/ABS(I309-J309))</f>
        <v/>
      </c>
      <c r="AC309" s="51">
        <f>IF(OR(B309="",D309="",H309="",I309=""),"",IF(L309="","Ouvert",IF(X309&gt;0,"Gagné",IF(X309&lt;0,"Perdu","Neutre"))))</f>
        <v/>
      </c>
      <c r="AD309" s="115">
        <f>IF(X309="","",IF(C309="",B309,C309))</f>
        <v/>
      </c>
      <c r="AE309" s="109">
        <f>IF(B309="","",WEEKDAY(B309,2))</f>
        <v/>
      </c>
      <c r="AF309" s="112">
        <f>IF(X309="","",'Paramètres'!$C$9+SUM($X$6:X309))</f>
        <v/>
      </c>
      <c r="AG309" s="112">
        <f>IF(AF309="","",MAX('Paramètres'!$C$9,MAX($AF$6:AF309)))</f>
        <v/>
      </c>
      <c r="AH309" s="116">
        <f>IF(AF309="","",AF309/AG309-1)</f>
        <v/>
      </c>
      <c r="AI309" s="109">
        <f>IF(X309="","",IF(X309&gt;0,IF(N(AI308)&gt;0,N(AI308)+1,1),IF(X309&lt;0,IF(N(AI308)&lt;0,N(AI308)-1,-1),0)))</f>
        <v/>
      </c>
      <c r="AJ309" s="116">
        <f>IF(Z309="","",IFERROR(Z309/('Paramètres'!$C$9+SUM($X$5:X308)),""))</f>
        <v/>
      </c>
      <c r="AK309" s="109">
        <f>IF(AC309="Ouvert",COUNTIF($AC$6:AC309,"Ouvert"),"")</f>
        <v/>
      </c>
    </row>
    <row r="310" ht="19" customHeight="1">
      <c r="A310" s="104">
        <f>IF(B310="","",ROW()-5)</f>
        <v/>
      </c>
      <c r="B310" s="61" t="n"/>
      <c r="C310" s="61" t="n"/>
      <c r="D310" s="105" t="n"/>
      <c r="E310" s="49" t="n"/>
      <c r="F310" s="105" t="n"/>
      <c r="G310" s="49" t="n"/>
      <c r="H310" s="106" t="n"/>
      <c r="I310" s="107" t="n"/>
      <c r="J310" s="107" t="n"/>
      <c r="K310" s="107" t="n"/>
      <c r="L310" s="107" t="n"/>
      <c r="M310" s="106" t="n"/>
      <c r="N310" s="62" t="n"/>
      <c r="O310" s="49" t="n"/>
      <c r="P310" s="49" t="n"/>
      <c r="Q310" s="105" t="n"/>
      <c r="R310" s="105" t="n"/>
      <c r="S310" s="105" t="n"/>
      <c r="T310" s="105" t="n"/>
      <c r="U310" s="108">
        <f>IF(OR(H310="",I310="",I310=0),"",H310/I310)</f>
        <v/>
      </c>
      <c r="V310" s="109">
        <f>IF(OR(B310="",C310="",L310=""),"",MAX(0,C310-B310))</f>
        <v/>
      </c>
      <c r="W310" s="110">
        <f>IF(OR(L310="",U310=""),"",IF(E310="Short",(I310-L310)*U310,(L310-I310)*U310))</f>
        <v/>
      </c>
      <c r="X310" s="110">
        <f>IF(W310="","",W310-IF(M310="",0,M310))</f>
        <v/>
      </c>
      <c r="Y310" s="111">
        <f>IF(OR(X310="",H310="",H310=0),"",X310/H310)</f>
        <v/>
      </c>
      <c r="Z310" s="112">
        <f>IF(OR(I310="",J310="",U310=""),"",ABS(I310-J310)*U310)</f>
        <v/>
      </c>
      <c r="AA310" s="113">
        <f>IF(OR(X310="",Z310="",Z310=0),"",X310/Z310)</f>
        <v/>
      </c>
      <c r="AB310" s="114">
        <f>IF(OR(I310="",J310="",K310="",I310=J310),"",ABS(K310-I310)/ABS(I310-J310))</f>
        <v/>
      </c>
      <c r="AC310" s="51">
        <f>IF(OR(B310="",D310="",H310="",I310=""),"",IF(L310="","Ouvert",IF(X310&gt;0,"Gagné",IF(X310&lt;0,"Perdu","Neutre"))))</f>
        <v/>
      </c>
      <c r="AD310" s="115">
        <f>IF(X310="","",IF(C310="",B310,C310))</f>
        <v/>
      </c>
      <c r="AE310" s="109">
        <f>IF(B310="","",WEEKDAY(B310,2))</f>
        <v/>
      </c>
      <c r="AF310" s="112">
        <f>IF(X310="","",'Paramètres'!$C$9+SUM($X$6:X310))</f>
        <v/>
      </c>
      <c r="AG310" s="112">
        <f>IF(AF310="","",MAX('Paramètres'!$C$9,MAX($AF$6:AF310)))</f>
        <v/>
      </c>
      <c r="AH310" s="116">
        <f>IF(AF310="","",AF310/AG310-1)</f>
        <v/>
      </c>
      <c r="AI310" s="109">
        <f>IF(X310="","",IF(X310&gt;0,IF(N(AI309)&gt;0,N(AI309)+1,1),IF(X310&lt;0,IF(N(AI309)&lt;0,N(AI309)-1,-1),0)))</f>
        <v/>
      </c>
      <c r="AJ310" s="116">
        <f>IF(Z310="","",IFERROR(Z310/('Paramètres'!$C$9+SUM($X$5:X309)),""))</f>
        <v/>
      </c>
      <c r="AK310" s="109">
        <f>IF(AC310="Ouvert",COUNTIF($AC$6:AC310,"Ouvert"),"")</f>
        <v/>
      </c>
    </row>
    <row r="311" ht="19" customHeight="1">
      <c r="A311" s="104">
        <f>IF(B311="","",ROW()-5)</f>
        <v/>
      </c>
      <c r="B311" s="61" t="n"/>
      <c r="C311" s="61" t="n"/>
      <c r="D311" s="105" t="n"/>
      <c r="E311" s="49" t="n"/>
      <c r="F311" s="105" t="n"/>
      <c r="G311" s="49" t="n"/>
      <c r="H311" s="106" t="n"/>
      <c r="I311" s="107" t="n"/>
      <c r="J311" s="107" t="n"/>
      <c r="K311" s="107" t="n"/>
      <c r="L311" s="107" t="n"/>
      <c r="M311" s="106" t="n"/>
      <c r="N311" s="62" t="n"/>
      <c r="O311" s="49" t="n"/>
      <c r="P311" s="49" t="n"/>
      <c r="Q311" s="105" t="n"/>
      <c r="R311" s="105" t="n"/>
      <c r="S311" s="105" t="n"/>
      <c r="T311" s="105" t="n"/>
      <c r="U311" s="108">
        <f>IF(OR(H311="",I311="",I311=0),"",H311/I311)</f>
        <v/>
      </c>
      <c r="V311" s="109">
        <f>IF(OR(B311="",C311="",L311=""),"",MAX(0,C311-B311))</f>
        <v/>
      </c>
      <c r="W311" s="110">
        <f>IF(OR(L311="",U311=""),"",IF(E311="Short",(I311-L311)*U311,(L311-I311)*U311))</f>
        <v/>
      </c>
      <c r="X311" s="110">
        <f>IF(W311="","",W311-IF(M311="",0,M311))</f>
        <v/>
      </c>
      <c r="Y311" s="111">
        <f>IF(OR(X311="",H311="",H311=0),"",X311/H311)</f>
        <v/>
      </c>
      <c r="Z311" s="112">
        <f>IF(OR(I311="",J311="",U311=""),"",ABS(I311-J311)*U311)</f>
        <v/>
      </c>
      <c r="AA311" s="113">
        <f>IF(OR(X311="",Z311="",Z311=0),"",X311/Z311)</f>
        <v/>
      </c>
      <c r="AB311" s="114">
        <f>IF(OR(I311="",J311="",K311="",I311=J311),"",ABS(K311-I311)/ABS(I311-J311))</f>
        <v/>
      </c>
      <c r="AC311" s="51">
        <f>IF(OR(B311="",D311="",H311="",I311=""),"",IF(L311="","Ouvert",IF(X311&gt;0,"Gagné",IF(X311&lt;0,"Perdu","Neutre"))))</f>
        <v/>
      </c>
      <c r="AD311" s="115">
        <f>IF(X311="","",IF(C311="",B311,C311))</f>
        <v/>
      </c>
      <c r="AE311" s="109">
        <f>IF(B311="","",WEEKDAY(B311,2))</f>
        <v/>
      </c>
      <c r="AF311" s="112">
        <f>IF(X311="","",'Paramètres'!$C$9+SUM($X$6:X311))</f>
        <v/>
      </c>
      <c r="AG311" s="112">
        <f>IF(AF311="","",MAX('Paramètres'!$C$9,MAX($AF$6:AF311)))</f>
        <v/>
      </c>
      <c r="AH311" s="116">
        <f>IF(AF311="","",AF311/AG311-1)</f>
        <v/>
      </c>
      <c r="AI311" s="109">
        <f>IF(X311="","",IF(X311&gt;0,IF(N(AI310)&gt;0,N(AI310)+1,1),IF(X311&lt;0,IF(N(AI310)&lt;0,N(AI310)-1,-1),0)))</f>
        <v/>
      </c>
      <c r="AJ311" s="116">
        <f>IF(Z311="","",IFERROR(Z311/('Paramètres'!$C$9+SUM($X$5:X310)),""))</f>
        <v/>
      </c>
      <c r="AK311" s="109">
        <f>IF(AC311="Ouvert",COUNTIF($AC$6:AC311,"Ouvert"),"")</f>
        <v/>
      </c>
    </row>
    <row r="312" ht="19" customHeight="1">
      <c r="A312" s="104">
        <f>IF(B312="","",ROW()-5)</f>
        <v/>
      </c>
      <c r="B312" s="61" t="n"/>
      <c r="C312" s="61" t="n"/>
      <c r="D312" s="105" t="n"/>
      <c r="E312" s="49" t="n"/>
      <c r="F312" s="105" t="n"/>
      <c r="G312" s="49" t="n"/>
      <c r="H312" s="106" t="n"/>
      <c r="I312" s="107" t="n"/>
      <c r="J312" s="107" t="n"/>
      <c r="K312" s="107" t="n"/>
      <c r="L312" s="107" t="n"/>
      <c r="M312" s="106" t="n"/>
      <c r="N312" s="62" t="n"/>
      <c r="O312" s="49" t="n"/>
      <c r="P312" s="49" t="n"/>
      <c r="Q312" s="105" t="n"/>
      <c r="R312" s="105" t="n"/>
      <c r="S312" s="105" t="n"/>
      <c r="T312" s="105" t="n"/>
      <c r="U312" s="108">
        <f>IF(OR(H312="",I312="",I312=0),"",H312/I312)</f>
        <v/>
      </c>
      <c r="V312" s="109">
        <f>IF(OR(B312="",C312="",L312=""),"",MAX(0,C312-B312))</f>
        <v/>
      </c>
      <c r="W312" s="110">
        <f>IF(OR(L312="",U312=""),"",IF(E312="Short",(I312-L312)*U312,(L312-I312)*U312))</f>
        <v/>
      </c>
      <c r="X312" s="110">
        <f>IF(W312="","",W312-IF(M312="",0,M312))</f>
        <v/>
      </c>
      <c r="Y312" s="111">
        <f>IF(OR(X312="",H312="",H312=0),"",X312/H312)</f>
        <v/>
      </c>
      <c r="Z312" s="112">
        <f>IF(OR(I312="",J312="",U312=""),"",ABS(I312-J312)*U312)</f>
        <v/>
      </c>
      <c r="AA312" s="113">
        <f>IF(OR(X312="",Z312="",Z312=0),"",X312/Z312)</f>
        <v/>
      </c>
      <c r="AB312" s="114">
        <f>IF(OR(I312="",J312="",K312="",I312=J312),"",ABS(K312-I312)/ABS(I312-J312))</f>
        <v/>
      </c>
      <c r="AC312" s="51">
        <f>IF(OR(B312="",D312="",H312="",I312=""),"",IF(L312="","Ouvert",IF(X312&gt;0,"Gagné",IF(X312&lt;0,"Perdu","Neutre"))))</f>
        <v/>
      </c>
      <c r="AD312" s="115">
        <f>IF(X312="","",IF(C312="",B312,C312))</f>
        <v/>
      </c>
      <c r="AE312" s="109">
        <f>IF(B312="","",WEEKDAY(B312,2))</f>
        <v/>
      </c>
      <c r="AF312" s="112">
        <f>IF(X312="","",'Paramètres'!$C$9+SUM($X$6:X312))</f>
        <v/>
      </c>
      <c r="AG312" s="112">
        <f>IF(AF312="","",MAX('Paramètres'!$C$9,MAX($AF$6:AF312)))</f>
        <v/>
      </c>
      <c r="AH312" s="116">
        <f>IF(AF312="","",AF312/AG312-1)</f>
        <v/>
      </c>
      <c r="AI312" s="109">
        <f>IF(X312="","",IF(X312&gt;0,IF(N(AI311)&gt;0,N(AI311)+1,1),IF(X312&lt;0,IF(N(AI311)&lt;0,N(AI311)-1,-1),0)))</f>
        <v/>
      </c>
      <c r="AJ312" s="116">
        <f>IF(Z312="","",IFERROR(Z312/('Paramètres'!$C$9+SUM($X$5:X311)),""))</f>
        <v/>
      </c>
      <c r="AK312" s="109">
        <f>IF(AC312="Ouvert",COUNTIF($AC$6:AC312,"Ouvert"),"")</f>
        <v/>
      </c>
    </row>
    <row r="313" ht="19" customHeight="1">
      <c r="A313" s="104">
        <f>IF(B313="","",ROW()-5)</f>
        <v/>
      </c>
      <c r="B313" s="61" t="n"/>
      <c r="C313" s="61" t="n"/>
      <c r="D313" s="105" t="n"/>
      <c r="E313" s="49" t="n"/>
      <c r="F313" s="105" t="n"/>
      <c r="G313" s="49" t="n"/>
      <c r="H313" s="106" t="n"/>
      <c r="I313" s="107" t="n"/>
      <c r="J313" s="107" t="n"/>
      <c r="K313" s="107" t="n"/>
      <c r="L313" s="107" t="n"/>
      <c r="M313" s="106" t="n"/>
      <c r="N313" s="62" t="n"/>
      <c r="O313" s="49" t="n"/>
      <c r="P313" s="49" t="n"/>
      <c r="Q313" s="105" t="n"/>
      <c r="R313" s="105" t="n"/>
      <c r="S313" s="105" t="n"/>
      <c r="T313" s="105" t="n"/>
      <c r="U313" s="108">
        <f>IF(OR(H313="",I313="",I313=0),"",H313/I313)</f>
        <v/>
      </c>
      <c r="V313" s="109">
        <f>IF(OR(B313="",C313="",L313=""),"",MAX(0,C313-B313))</f>
        <v/>
      </c>
      <c r="W313" s="110">
        <f>IF(OR(L313="",U313=""),"",IF(E313="Short",(I313-L313)*U313,(L313-I313)*U313))</f>
        <v/>
      </c>
      <c r="X313" s="110">
        <f>IF(W313="","",W313-IF(M313="",0,M313))</f>
        <v/>
      </c>
      <c r="Y313" s="111">
        <f>IF(OR(X313="",H313="",H313=0),"",X313/H313)</f>
        <v/>
      </c>
      <c r="Z313" s="112">
        <f>IF(OR(I313="",J313="",U313=""),"",ABS(I313-J313)*U313)</f>
        <v/>
      </c>
      <c r="AA313" s="113">
        <f>IF(OR(X313="",Z313="",Z313=0),"",X313/Z313)</f>
        <v/>
      </c>
      <c r="AB313" s="114">
        <f>IF(OR(I313="",J313="",K313="",I313=J313),"",ABS(K313-I313)/ABS(I313-J313))</f>
        <v/>
      </c>
      <c r="AC313" s="51">
        <f>IF(OR(B313="",D313="",H313="",I313=""),"",IF(L313="","Ouvert",IF(X313&gt;0,"Gagné",IF(X313&lt;0,"Perdu","Neutre"))))</f>
        <v/>
      </c>
      <c r="AD313" s="115">
        <f>IF(X313="","",IF(C313="",B313,C313))</f>
        <v/>
      </c>
      <c r="AE313" s="109">
        <f>IF(B313="","",WEEKDAY(B313,2))</f>
        <v/>
      </c>
      <c r="AF313" s="112">
        <f>IF(X313="","",'Paramètres'!$C$9+SUM($X$6:X313))</f>
        <v/>
      </c>
      <c r="AG313" s="112">
        <f>IF(AF313="","",MAX('Paramètres'!$C$9,MAX($AF$6:AF313)))</f>
        <v/>
      </c>
      <c r="AH313" s="116">
        <f>IF(AF313="","",AF313/AG313-1)</f>
        <v/>
      </c>
      <c r="AI313" s="109">
        <f>IF(X313="","",IF(X313&gt;0,IF(N(AI312)&gt;0,N(AI312)+1,1),IF(X313&lt;0,IF(N(AI312)&lt;0,N(AI312)-1,-1),0)))</f>
        <v/>
      </c>
      <c r="AJ313" s="116">
        <f>IF(Z313="","",IFERROR(Z313/('Paramètres'!$C$9+SUM($X$5:X312)),""))</f>
        <v/>
      </c>
      <c r="AK313" s="109">
        <f>IF(AC313="Ouvert",COUNTIF($AC$6:AC313,"Ouvert"),"")</f>
        <v/>
      </c>
    </row>
    <row r="314" ht="19" customHeight="1">
      <c r="A314" s="104">
        <f>IF(B314="","",ROW()-5)</f>
        <v/>
      </c>
      <c r="B314" s="61" t="n"/>
      <c r="C314" s="61" t="n"/>
      <c r="D314" s="105" t="n"/>
      <c r="E314" s="49" t="n"/>
      <c r="F314" s="105" t="n"/>
      <c r="G314" s="49" t="n"/>
      <c r="H314" s="106" t="n"/>
      <c r="I314" s="107" t="n"/>
      <c r="J314" s="107" t="n"/>
      <c r="K314" s="107" t="n"/>
      <c r="L314" s="107" t="n"/>
      <c r="M314" s="106" t="n"/>
      <c r="N314" s="62" t="n"/>
      <c r="O314" s="49" t="n"/>
      <c r="P314" s="49" t="n"/>
      <c r="Q314" s="105" t="n"/>
      <c r="R314" s="105" t="n"/>
      <c r="S314" s="105" t="n"/>
      <c r="T314" s="105" t="n"/>
      <c r="U314" s="108">
        <f>IF(OR(H314="",I314="",I314=0),"",H314/I314)</f>
        <v/>
      </c>
      <c r="V314" s="109">
        <f>IF(OR(B314="",C314="",L314=""),"",MAX(0,C314-B314))</f>
        <v/>
      </c>
      <c r="W314" s="110">
        <f>IF(OR(L314="",U314=""),"",IF(E314="Short",(I314-L314)*U314,(L314-I314)*U314))</f>
        <v/>
      </c>
      <c r="X314" s="110">
        <f>IF(W314="","",W314-IF(M314="",0,M314))</f>
        <v/>
      </c>
      <c r="Y314" s="111">
        <f>IF(OR(X314="",H314="",H314=0),"",X314/H314)</f>
        <v/>
      </c>
      <c r="Z314" s="112">
        <f>IF(OR(I314="",J314="",U314=""),"",ABS(I314-J314)*U314)</f>
        <v/>
      </c>
      <c r="AA314" s="113">
        <f>IF(OR(X314="",Z314="",Z314=0),"",X314/Z314)</f>
        <v/>
      </c>
      <c r="AB314" s="114">
        <f>IF(OR(I314="",J314="",K314="",I314=J314),"",ABS(K314-I314)/ABS(I314-J314))</f>
        <v/>
      </c>
      <c r="AC314" s="51">
        <f>IF(OR(B314="",D314="",H314="",I314=""),"",IF(L314="","Ouvert",IF(X314&gt;0,"Gagné",IF(X314&lt;0,"Perdu","Neutre"))))</f>
        <v/>
      </c>
      <c r="AD314" s="115">
        <f>IF(X314="","",IF(C314="",B314,C314))</f>
        <v/>
      </c>
      <c r="AE314" s="109">
        <f>IF(B314="","",WEEKDAY(B314,2))</f>
        <v/>
      </c>
      <c r="AF314" s="112">
        <f>IF(X314="","",'Paramètres'!$C$9+SUM($X$6:X314))</f>
        <v/>
      </c>
      <c r="AG314" s="112">
        <f>IF(AF314="","",MAX('Paramètres'!$C$9,MAX($AF$6:AF314)))</f>
        <v/>
      </c>
      <c r="AH314" s="116">
        <f>IF(AF314="","",AF314/AG314-1)</f>
        <v/>
      </c>
      <c r="AI314" s="109">
        <f>IF(X314="","",IF(X314&gt;0,IF(N(AI313)&gt;0,N(AI313)+1,1),IF(X314&lt;0,IF(N(AI313)&lt;0,N(AI313)-1,-1),0)))</f>
        <v/>
      </c>
      <c r="AJ314" s="116">
        <f>IF(Z314="","",IFERROR(Z314/('Paramètres'!$C$9+SUM($X$5:X313)),""))</f>
        <v/>
      </c>
      <c r="AK314" s="109">
        <f>IF(AC314="Ouvert",COUNTIF($AC$6:AC314,"Ouvert"),"")</f>
        <v/>
      </c>
    </row>
    <row r="315" ht="19" customHeight="1">
      <c r="A315" s="104">
        <f>IF(B315="","",ROW()-5)</f>
        <v/>
      </c>
      <c r="B315" s="61" t="n"/>
      <c r="C315" s="61" t="n"/>
      <c r="D315" s="105" t="n"/>
      <c r="E315" s="49" t="n"/>
      <c r="F315" s="105" t="n"/>
      <c r="G315" s="49" t="n"/>
      <c r="H315" s="106" t="n"/>
      <c r="I315" s="107" t="n"/>
      <c r="J315" s="107" t="n"/>
      <c r="K315" s="107" t="n"/>
      <c r="L315" s="107" t="n"/>
      <c r="M315" s="106" t="n"/>
      <c r="N315" s="62" t="n"/>
      <c r="O315" s="49" t="n"/>
      <c r="P315" s="49" t="n"/>
      <c r="Q315" s="105" t="n"/>
      <c r="R315" s="105" t="n"/>
      <c r="S315" s="105" t="n"/>
      <c r="T315" s="105" t="n"/>
      <c r="U315" s="108">
        <f>IF(OR(H315="",I315="",I315=0),"",H315/I315)</f>
        <v/>
      </c>
      <c r="V315" s="109">
        <f>IF(OR(B315="",C315="",L315=""),"",MAX(0,C315-B315))</f>
        <v/>
      </c>
      <c r="W315" s="110">
        <f>IF(OR(L315="",U315=""),"",IF(E315="Short",(I315-L315)*U315,(L315-I315)*U315))</f>
        <v/>
      </c>
      <c r="X315" s="110">
        <f>IF(W315="","",W315-IF(M315="",0,M315))</f>
        <v/>
      </c>
      <c r="Y315" s="111">
        <f>IF(OR(X315="",H315="",H315=0),"",X315/H315)</f>
        <v/>
      </c>
      <c r="Z315" s="112">
        <f>IF(OR(I315="",J315="",U315=""),"",ABS(I315-J315)*U315)</f>
        <v/>
      </c>
      <c r="AA315" s="113">
        <f>IF(OR(X315="",Z315="",Z315=0),"",X315/Z315)</f>
        <v/>
      </c>
      <c r="AB315" s="114">
        <f>IF(OR(I315="",J315="",K315="",I315=J315),"",ABS(K315-I315)/ABS(I315-J315))</f>
        <v/>
      </c>
      <c r="AC315" s="51">
        <f>IF(OR(B315="",D315="",H315="",I315=""),"",IF(L315="","Ouvert",IF(X315&gt;0,"Gagné",IF(X315&lt;0,"Perdu","Neutre"))))</f>
        <v/>
      </c>
      <c r="AD315" s="115">
        <f>IF(X315="","",IF(C315="",B315,C315))</f>
        <v/>
      </c>
      <c r="AE315" s="109">
        <f>IF(B315="","",WEEKDAY(B315,2))</f>
        <v/>
      </c>
      <c r="AF315" s="112">
        <f>IF(X315="","",'Paramètres'!$C$9+SUM($X$6:X315))</f>
        <v/>
      </c>
      <c r="AG315" s="112">
        <f>IF(AF315="","",MAX('Paramètres'!$C$9,MAX($AF$6:AF315)))</f>
        <v/>
      </c>
      <c r="AH315" s="116">
        <f>IF(AF315="","",AF315/AG315-1)</f>
        <v/>
      </c>
      <c r="AI315" s="109">
        <f>IF(X315="","",IF(X315&gt;0,IF(N(AI314)&gt;0,N(AI314)+1,1),IF(X315&lt;0,IF(N(AI314)&lt;0,N(AI314)-1,-1),0)))</f>
        <v/>
      </c>
      <c r="AJ315" s="116">
        <f>IF(Z315="","",IFERROR(Z315/('Paramètres'!$C$9+SUM($X$5:X314)),""))</f>
        <v/>
      </c>
      <c r="AK315" s="109">
        <f>IF(AC315="Ouvert",COUNTIF($AC$6:AC315,"Ouvert"),"")</f>
        <v/>
      </c>
    </row>
    <row r="316" ht="19" customHeight="1">
      <c r="A316" s="104">
        <f>IF(B316="","",ROW()-5)</f>
        <v/>
      </c>
      <c r="B316" s="61" t="n"/>
      <c r="C316" s="61" t="n"/>
      <c r="D316" s="105" t="n"/>
      <c r="E316" s="49" t="n"/>
      <c r="F316" s="105" t="n"/>
      <c r="G316" s="49" t="n"/>
      <c r="H316" s="106" t="n"/>
      <c r="I316" s="107" t="n"/>
      <c r="J316" s="107" t="n"/>
      <c r="K316" s="107" t="n"/>
      <c r="L316" s="107" t="n"/>
      <c r="M316" s="106" t="n"/>
      <c r="N316" s="62" t="n"/>
      <c r="O316" s="49" t="n"/>
      <c r="P316" s="49" t="n"/>
      <c r="Q316" s="105" t="n"/>
      <c r="R316" s="105" t="n"/>
      <c r="S316" s="105" t="n"/>
      <c r="T316" s="105" t="n"/>
      <c r="U316" s="108">
        <f>IF(OR(H316="",I316="",I316=0),"",H316/I316)</f>
        <v/>
      </c>
      <c r="V316" s="109">
        <f>IF(OR(B316="",C316="",L316=""),"",MAX(0,C316-B316))</f>
        <v/>
      </c>
      <c r="W316" s="110">
        <f>IF(OR(L316="",U316=""),"",IF(E316="Short",(I316-L316)*U316,(L316-I316)*U316))</f>
        <v/>
      </c>
      <c r="X316" s="110">
        <f>IF(W316="","",W316-IF(M316="",0,M316))</f>
        <v/>
      </c>
      <c r="Y316" s="111">
        <f>IF(OR(X316="",H316="",H316=0),"",X316/H316)</f>
        <v/>
      </c>
      <c r="Z316" s="112">
        <f>IF(OR(I316="",J316="",U316=""),"",ABS(I316-J316)*U316)</f>
        <v/>
      </c>
      <c r="AA316" s="113">
        <f>IF(OR(X316="",Z316="",Z316=0),"",X316/Z316)</f>
        <v/>
      </c>
      <c r="AB316" s="114">
        <f>IF(OR(I316="",J316="",K316="",I316=J316),"",ABS(K316-I316)/ABS(I316-J316))</f>
        <v/>
      </c>
      <c r="AC316" s="51">
        <f>IF(OR(B316="",D316="",H316="",I316=""),"",IF(L316="","Ouvert",IF(X316&gt;0,"Gagné",IF(X316&lt;0,"Perdu","Neutre"))))</f>
        <v/>
      </c>
      <c r="AD316" s="115">
        <f>IF(X316="","",IF(C316="",B316,C316))</f>
        <v/>
      </c>
      <c r="AE316" s="109">
        <f>IF(B316="","",WEEKDAY(B316,2))</f>
        <v/>
      </c>
      <c r="AF316" s="112">
        <f>IF(X316="","",'Paramètres'!$C$9+SUM($X$6:X316))</f>
        <v/>
      </c>
      <c r="AG316" s="112">
        <f>IF(AF316="","",MAX('Paramètres'!$C$9,MAX($AF$6:AF316)))</f>
        <v/>
      </c>
      <c r="AH316" s="116">
        <f>IF(AF316="","",AF316/AG316-1)</f>
        <v/>
      </c>
      <c r="AI316" s="109">
        <f>IF(X316="","",IF(X316&gt;0,IF(N(AI315)&gt;0,N(AI315)+1,1),IF(X316&lt;0,IF(N(AI315)&lt;0,N(AI315)-1,-1),0)))</f>
        <v/>
      </c>
      <c r="AJ316" s="116">
        <f>IF(Z316="","",IFERROR(Z316/('Paramètres'!$C$9+SUM($X$5:X315)),""))</f>
        <v/>
      </c>
      <c r="AK316" s="109">
        <f>IF(AC316="Ouvert",COUNTIF($AC$6:AC316,"Ouvert"),"")</f>
        <v/>
      </c>
    </row>
    <row r="317" ht="19" customHeight="1">
      <c r="A317" s="104">
        <f>IF(B317="","",ROW()-5)</f>
        <v/>
      </c>
      <c r="B317" s="61" t="n"/>
      <c r="C317" s="61" t="n"/>
      <c r="D317" s="105" t="n"/>
      <c r="E317" s="49" t="n"/>
      <c r="F317" s="105" t="n"/>
      <c r="G317" s="49" t="n"/>
      <c r="H317" s="106" t="n"/>
      <c r="I317" s="107" t="n"/>
      <c r="J317" s="107" t="n"/>
      <c r="K317" s="107" t="n"/>
      <c r="L317" s="107" t="n"/>
      <c r="M317" s="106" t="n"/>
      <c r="N317" s="62" t="n"/>
      <c r="O317" s="49" t="n"/>
      <c r="P317" s="49" t="n"/>
      <c r="Q317" s="105" t="n"/>
      <c r="R317" s="105" t="n"/>
      <c r="S317" s="105" t="n"/>
      <c r="T317" s="105" t="n"/>
      <c r="U317" s="108">
        <f>IF(OR(H317="",I317="",I317=0),"",H317/I317)</f>
        <v/>
      </c>
      <c r="V317" s="109">
        <f>IF(OR(B317="",C317="",L317=""),"",MAX(0,C317-B317))</f>
        <v/>
      </c>
      <c r="W317" s="110">
        <f>IF(OR(L317="",U317=""),"",IF(E317="Short",(I317-L317)*U317,(L317-I317)*U317))</f>
        <v/>
      </c>
      <c r="X317" s="110">
        <f>IF(W317="","",W317-IF(M317="",0,M317))</f>
        <v/>
      </c>
      <c r="Y317" s="111">
        <f>IF(OR(X317="",H317="",H317=0),"",X317/H317)</f>
        <v/>
      </c>
      <c r="Z317" s="112">
        <f>IF(OR(I317="",J317="",U317=""),"",ABS(I317-J317)*U317)</f>
        <v/>
      </c>
      <c r="AA317" s="113">
        <f>IF(OR(X317="",Z317="",Z317=0),"",X317/Z317)</f>
        <v/>
      </c>
      <c r="AB317" s="114">
        <f>IF(OR(I317="",J317="",K317="",I317=J317),"",ABS(K317-I317)/ABS(I317-J317))</f>
        <v/>
      </c>
      <c r="AC317" s="51">
        <f>IF(OR(B317="",D317="",H317="",I317=""),"",IF(L317="","Ouvert",IF(X317&gt;0,"Gagné",IF(X317&lt;0,"Perdu","Neutre"))))</f>
        <v/>
      </c>
      <c r="AD317" s="115">
        <f>IF(X317="","",IF(C317="",B317,C317))</f>
        <v/>
      </c>
      <c r="AE317" s="109">
        <f>IF(B317="","",WEEKDAY(B317,2))</f>
        <v/>
      </c>
      <c r="AF317" s="112">
        <f>IF(X317="","",'Paramètres'!$C$9+SUM($X$6:X317))</f>
        <v/>
      </c>
      <c r="AG317" s="112">
        <f>IF(AF317="","",MAX('Paramètres'!$C$9,MAX($AF$6:AF317)))</f>
        <v/>
      </c>
      <c r="AH317" s="116">
        <f>IF(AF317="","",AF317/AG317-1)</f>
        <v/>
      </c>
      <c r="AI317" s="109">
        <f>IF(X317="","",IF(X317&gt;0,IF(N(AI316)&gt;0,N(AI316)+1,1),IF(X317&lt;0,IF(N(AI316)&lt;0,N(AI316)-1,-1),0)))</f>
        <v/>
      </c>
      <c r="AJ317" s="116">
        <f>IF(Z317="","",IFERROR(Z317/('Paramètres'!$C$9+SUM($X$5:X316)),""))</f>
        <v/>
      </c>
      <c r="AK317" s="109">
        <f>IF(AC317="Ouvert",COUNTIF($AC$6:AC317,"Ouvert"),"")</f>
        <v/>
      </c>
    </row>
    <row r="318" ht="19" customHeight="1">
      <c r="A318" s="104">
        <f>IF(B318="","",ROW()-5)</f>
        <v/>
      </c>
      <c r="B318" s="61" t="n"/>
      <c r="C318" s="61" t="n"/>
      <c r="D318" s="105" t="n"/>
      <c r="E318" s="49" t="n"/>
      <c r="F318" s="105" t="n"/>
      <c r="G318" s="49" t="n"/>
      <c r="H318" s="106" t="n"/>
      <c r="I318" s="107" t="n"/>
      <c r="J318" s="107" t="n"/>
      <c r="K318" s="107" t="n"/>
      <c r="L318" s="107" t="n"/>
      <c r="M318" s="106" t="n"/>
      <c r="N318" s="62" t="n"/>
      <c r="O318" s="49" t="n"/>
      <c r="P318" s="49" t="n"/>
      <c r="Q318" s="105" t="n"/>
      <c r="R318" s="105" t="n"/>
      <c r="S318" s="105" t="n"/>
      <c r="T318" s="105" t="n"/>
      <c r="U318" s="108">
        <f>IF(OR(H318="",I318="",I318=0),"",H318/I318)</f>
        <v/>
      </c>
      <c r="V318" s="109">
        <f>IF(OR(B318="",C318="",L318=""),"",MAX(0,C318-B318))</f>
        <v/>
      </c>
      <c r="W318" s="110">
        <f>IF(OR(L318="",U318=""),"",IF(E318="Short",(I318-L318)*U318,(L318-I318)*U318))</f>
        <v/>
      </c>
      <c r="X318" s="110">
        <f>IF(W318="","",W318-IF(M318="",0,M318))</f>
        <v/>
      </c>
      <c r="Y318" s="111">
        <f>IF(OR(X318="",H318="",H318=0),"",X318/H318)</f>
        <v/>
      </c>
      <c r="Z318" s="112">
        <f>IF(OR(I318="",J318="",U318=""),"",ABS(I318-J318)*U318)</f>
        <v/>
      </c>
      <c r="AA318" s="113">
        <f>IF(OR(X318="",Z318="",Z318=0),"",X318/Z318)</f>
        <v/>
      </c>
      <c r="AB318" s="114">
        <f>IF(OR(I318="",J318="",K318="",I318=J318),"",ABS(K318-I318)/ABS(I318-J318))</f>
        <v/>
      </c>
      <c r="AC318" s="51">
        <f>IF(OR(B318="",D318="",H318="",I318=""),"",IF(L318="","Ouvert",IF(X318&gt;0,"Gagné",IF(X318&lt;0,"Perdu","Neutre"))))</f>
        <v/>
      </c>
      <c r="AD318" s="115">
        <f>IF(X318="","",IF(C318="",B318,C318))</f>
        <v/>
      </c>
      <c r="AE318" s="109">
        <f>IF(B318="","",WEEKDAY(B318,2))</f>
        <v/>
      </c>
      <c r="AF318" s="112">
        <f>IF(X318="","",'Paramètres'!$C$9+SUM($X$6:X318))</f>
        <v/>
      </c>
      <c r="AG318" s="112">
        <f>IF(AF318="","",MAX('Paramètres'!$C$9,MAX($AF$6:AF318)))</f>
        <v/>
      </c>
      <c r="AH318" s="116">
        <f>IF(AF318="","",AF318/AG318-1)</f>
        <v/>
      </c>
      <c r="AI318" s="109">
        <f>IF(X318="","",IF(X318&gt;0,IF(N(AI317)&gt;0,N(AI317)+1,1),IF(X318&lt;0,IF(N(AI317)&lt;0,N(AI317)-1,-1),0)))</f>
        <v/>
      </c>
      <c r="AJ318" s="116">
        <f>IF(Z318="","",IFERROR(Z318/('Paramètres'!$C$9+SUM($X$5:X317)),""))</f>
        <v/>
      </c>
      <c r="AK318" s="109">
        <f>IF(AC318="Ouvert",COUNTIF($AC$6:AC318,"Ouvert"),"")</f>
        <v/>
      </c>
    </row>
    <row r="319" ht="19" customHeight="1">
      <c r="A319" s="104">
        <f>IF(B319="","",ROW()-5)</f>
        <v/>
      </c>
      <c r="B319" s="61" t="n"/>
      <c r="C319" s="61" t="n"/>
      <c r="D319" s="105" t="n"/>
      <c r="E319" s="49" t="n"/>
      <c r="F319" s="105" t="n"/>
      <c r="G319" s="49" t="n"/>
      <c r="H319" s="106" t="n"/>
      <c r="I319" s="107" t="n"/>
      <c r="J319" s="107" t="n"/>
      <c r="K319" s="107" t="n"/>
      <c r="L319" s="107" t="n"/>
      <c r="M319" s="106" t="n"/>
      <c r="N319" s="62" t="n"/>
      <c r="O319" s="49" t="n"/>
      <c r="P319" s="49" t="n"/>
      <c r="Q319" s="105" t="n"/>
      <c r="R319" s="105" t="n"/>
      <c r="S319" s="105" t="n"/>
      <c r="T319" s="105" t="n"/>
      <c r="U319" s="108">
        <f>IF(OR(H319="",I319="",I319=0),"",H319/I319)</f>
        <v/>
      </c>
      <c r="V319" s="109">
        <f>IF(OR(B319="",C319="",L319=""),"",MAX(0,C319-B319))</f>
        <v/>
      </c>
      <c r="W319" s="110">
        <f>IF(OR(L319="",U319=""),"",IF(E319="Short",(I319-L319)*U319,(L319-I319)*U319))</f>
        <v/>
      </c>
      <c r="X319" s="110">
        <f>IF(W319="","",W319-IF(M319="",0,M319))</f>
        <v/>
      </c>
      <c r="Y319" s="111">
        <f>IF(OR(X319="",H319="",H319=0),"",X319/H319)</f>
        <v/>
      </c>
      <c r="Z319" s="112">
        <f>IF(OR(I319="",J319="",U319=""),"",ABS(I319-J319)*U319)</f>
        <v/>
      </c>
      <c r="AA319" s="113">
        <f>IF(OR(X319="",Z319="",Z319=0),"",X319/Z319)</f>
        <v/>
      </c>
      <c r="AB319" s="114">
        <f>IF(OR(I319="",J319="",K319="",I319=J319),"",ABS(K319-I319)/ABS(I319-J319))</f>
        <v/>
      </c>
      <c r="AC319" s="51">
        <f>IF(OR(B319="",D319="",H319="",I319=""),"",IF(L319="","Ouvert",IF(X319&gt;0,"Gagné",IF(X319&lt;0,"Perdu","Neutre"))))</f>
        <v/>
      </c>
      <c r="AD319" s="115">
        <f>IF(X319="","",IF(C319="",B319,C319))</f>
        <v/>
      </c>
      <c r="AE319" s="109">
        <f>IF(B319="","",WEEKDAY(B319,2))</f>
        <v/>
      </c>
      <c r="AF319" s="112">
        <f>IF(X319="","",'Paramètres'!$C$9+SUM($X$6:X319))</f>
        <v/>
      </c>
      <c r="AG319" s="112">
        <f>IF(AF319="","",MAX('Paramètres'!$C$9,MAX($AF$6:AF319)))</f>
        <v/>
      </c>
      <c r="AH319" s="116">
        <f>IF(AF319="","",AF319/AG319-1)</f>
        <v/>
      </c>
      <c r="AI319" s="109">
        <f>IF(X319="","",IF(X319&gt;0,IF(N(AI318)&gt;0,N(AI318)+1,1),IF(X319&lt;0,IF(N(AI318)&lt;0,N(AI318)-1,-1),0)))</f>
        <v/>
      </c>
      <c r="AJ319" s="116">
        <f>IF(Z319="","",IFERROR(Z319/('Paramètres'!$C$9+SUM($X$5:X318)),""))</f>
        <v/>
      </c>
      <c r="AK319" s="109">
        <f>IF(AC319="Ouvert",COUNTIF($AC$6:AC319,"Ouvert"),"")</f>
        <v/>
      </c>
    </row>
    <row r="320" ht="19" customHeight="1">
      <c r="A320" s="104">
        <f>IF(B320="","",ROW()-5)</f>
        <v/>
      </c>
      <c r="B320" s="61" t="n"/>
      <c r="C320" s="61" t="n"/>
      <c r="D320" s="105" t="n"/>
      <c r="E320" s="49" t="n"/>
      <c r="F320" s="105" t="n"/>
      <c r="G320" s="49" t="n"/>
      <c r="H320" s="106" t="n"/>
      <c r="I320" s="107" t="n"/>
      <c r="J320" s="107" t="n"/>
      <c r="K320" s="107" t="n"/>
      <c r="L320" s="107" t="n"/>
      <c r="M320" s="106" t="n"/>
      <c r="N320" s="62" t="n"/>
      <c r="O320" s="49" t="n"/>
      <c r="P320" s="49" t="n"/>
      <c r="Q320" s="105" t="n"/>
      <c r="R320" s="105" t="n"/>
      <c r="S320" s="105" t="n"/>
      <c r="T320" s="105" t="n"/>
      <c r="U320" s="108">
        <f>IF(OR(H320="",I320="",I320=0),"",H320/I320)</f>
        <v/>
      </c>
      <c r="V320" s="109">
        <f>IF(OR(B320="",C320="",L320=""),"",MAX(0,C320-B320))</f>
        <v/>
      </c>
      <c r="W320" s="110">
        <f>IF(OR(L320="",U320=""),"",IF(E320="Short",(I320-L320)*U320,(L320-I320)*U320))</f>
        <v/>
      </c>
      <c r="X320" s="110">
        <f>IF(W320="","",W320-IF(M320="",0,M320))</f>
        <v/>
      </c>
      <c r="Y320" s="111">
        <f>IF(OR(X320="",H320="",H320=0),"",X320/H320)</f>
        <v/>
      </c>
      <c r="Z320" s="112">
        <f>IF(OR(I320="",J320="",U320=""),"",ABS(I320-J320)*U320)</f>
        <v/>
      </c>
      <c r="AA320" s="113">
        <f>IF(OR(X320="",Z320="",Z320=0),"",X320/Z320)</f>
        <v/>
      </c>
      <c r="AB320" s="114">
        <f>IF(OR(I320="",J320="",K320="",I320=J320),"",ABS(K320-I320)/ABS(I320-J320))</f>
        <v/>
      </c>
      <c r="AC320" s="51">
        <f>IF(OR(B320="",D320="",H320="",I320=""),"",IF(L320="","Ouvert",IF(X320&gt;0,"Gagné",IF(X320&lt;0,"Perdu","Neutre"))))</f>
        <v/>
      </c>
      <c r="AD320" s="115">
        <f>IF(X320="","",IF(C320="",B320,C320))</f>
        <v/>
      </c>
      <c r="AE320" s="109">
        <f>IF(B320="","",WEEKDAY(B320,2))</f>
        <v/>
      </c>
      <c r="AF320" s="112">
        <f>IF(X320="","",'Paramètres'!$C$9+SUM($X$6:X320))</f>
        <v/>
      </c>
      <c r="AG320" s="112">
        <f>IF(AF320="","",MAX('Paramètres'!$C$9,MAX($AF$6:AF320)))</f>
        <v/>
      </c>
      <c r="AH320" s="116">
        <f>IF(AF320="","",AF320/AG320-1)</f>
        <v/>
      </c>
      <c r="AI320" s="109">
        <f>IF(X320="","",IF(X320&gt;0,IF(N(AI319)&gt;0,N(AI319)+1,1),IF(X320&lt;0,IF(N(AI319)&lt;0,N(AI319)-1,-1),0)))</f>
        <v/>
      </c>
      <c r="AJ320" s="116">
        <f>IF(Z320="","",IFERROR(Z320/('Paramètres'!$C$9+SUM($X$5:X319)),""))</f>
        <v/>
      </c>
      <c r="AK320" s="109">
        <f>IF(AC320="Ouvert",COUNTIF($AC$6:AC320,"Ouvert"),"")</f>
        <v/>
      </c>
    </row>
    <row r="321" ht="19" customHeight="1">
      <c r="A321" s="104">
        <f>IF(B321="","",ROW()-5)</f>
        <v/>
      </c>
      <c r="B321" s="61" t="n"/>
      <c r="C321" s="61" t="n"/>
      <c r="D321" s="105" t="n"/>
      <c r="E321" s="49" t="n"/>
      <c r="F321" s="105" t="n"/>
      <c r="G321" s="49" t="n"/>
      <c r="H321" s="106" t="n"/>
      <c r="I321" s="107" t="n"/>
      <c r="J321" s="107" t="n"/>
      <c r="K321" s="107" t="n"/>
      <c r="L321" s="107" t="n"/>
      <c r="M321" s="106" t="n"/>
      <c r="N321" s="62" t="n"/>
      <c r="O321" s="49" t="n"/>
      <c r="P321" s="49" t="n"/>
      <c r="Q321" s="105" t="n"/>
      <c r="R321" s="105" t="n"/>
      <c r="S321" s="105" t="n"/>
      <c r="T321" s="105" t="n"/>
      <c r="U321" s="108">
        <f>IF(OR(H321="",I321="",I321=0),"",H321/I321)</f>
        <v/>
      </c>
      <c r="V321" s="109">
        <f>IF(OR(B321="",C321="",L321=""),"",MAX(0,C321-B321))</f>
        <v/>
      </c>
      <c r="W321" s="110">
        <f>IF(OR(L321="",U321=""),"",IF(E321="Short",(I321-L321)*U321,(L321-I321)*U321))</f>
        <v/>
      </c>
      <c r="X321" s="110">
        <f>IF(W321="","",W321-IF(M321="",0,M321))</f>
        <v/>
      </c>
      <c r="Y321" s="111">
        <f>IF(OR(X321="",H321="",H321=0),"",X321/H321)</f>
        <v/>
      </c>
      <c r="Z321" s="112">
        <f>IF(OR(I321="",J321="",U321=""),"",ABS(I321-J321)*U321)</f>
        <v/>
      </c>
      <c r="AA321" s="113">
        <f>IF(OR(X321="",Z321="",Z321=0),"",X321/Z321)</f>
        <v/>
      </c>
      <c r="AB321" s="114">
        <f>IF(OR(I321="",J321="",K321="",I321=J321),"",ABS(K321-I321)/ABS(I321-J321))</f>
        <v/>
      </c>
      <c r="AC321" s="51">
        <f>IF(OR(B321="",D321="",H321="",I321=""),"",IF(L321="","Ouvert",IF(X321&gt;0,"Gagné",IF(X321&lt;0,"Perdu","Neutre"))))</f>
        <v/>
      </c>
      <c r="AD321" s="115">
        <f>IF(X321="","",IF(C321="",B321,C321))</f>
        <v/>
      </c>
      <c r="AE321" s="109">
        <f>IF(B321="","",WEEKDAY(B321,2))</f>
        <v/>
      </c>
      <c r="AF321" s="112">
        <f>IF(X321="","",'Paramètres'!$C$9+SUM($X$6:X321))</f>
        <v/>
      </c>
      <c r="AG321" s="112">
        <f>IF(AF321="","",MAX('Paramètres'!$C$9,MAX($AF$6:AF321)))</f>
        <v/>
      </c>
      <c r="AH321" s="116">
        <f>IF(AF321="","",AF321/AG321-1)</f>
        <v/>
      </c>
      <c r="AI321" s="109">
        <f>IF(X321="","",IF(X321&gt;0,IF(N(AI320)&gt;0,N(AI320)+1,1),IF(X321&lt;0,IF(N(AI320)&lt;0,N(AI320)-1,-1),0)))</f>
        <v/>
      </c>
      <c r="AJ321" s="116">
        <f>IF(Z321="","",IFERROR(Z321/('Paramètres'!$C$9+SUM($X$5:X320)),""))</f>
        <v/>
      </c>
      <c r="AK321" s="109">
        <f>IF(AC321="Ouvert",COUNTIF($AC$6:AC321,"Ouvert"),"")</f>
        <v/>
      </c>
    </row>
    <row r="322" ht="19" customHeight="1">
      <c r="A322" s="104">
        <f>IF(B322="","",ROW()-5)</f>
        <v/>
      </c>
      <c r="B322" s="61" t="n"/>
      <c r="C322" s="61" t="n"/>
      <c r="D322" s="105" t="n"/>
      <c r="E322" s="49" t="n"/>
      <c r="F322" s="105" t="n"/>
      <c r="G322" s="49" t="n"/>
      <c r="H322" s="106" t="n"/>
      <c r="I322" s="107" t="n"/>
      <c r="J322" s="107" t="n"/>
      <c r="K322" s="107" t="n"/>
      <c r="L322" s="107" t="n"/>
      <c r="M322" s="106" t="n"/>
      <c r="N322" s="62" t="n"/>
      <c r="O322" s="49" t="n"/>
      <c r="P322" s="49" t="n"/>
      <c r="Q322" s="105" t="n"/>
      <c r="R322" s="105" t="n"/>
      <c r="S322" s="105" t="n"/>
      <c r="T322" s="105" t="n"/>
      <c r="U322" s="108">
        <f>IF(OR(H322="",I322="",I322=0),"",H322/I322)</f>
        <v/>
      </c>
      <c r="V322" s="109">
        <f>IF(OR(B322="",C322="",L322=""),"",MAX(0,C322-B322))</f>
        <v/>
      </c>
      <c r="W322" s="110">
        <f>IF(OR(L322="",U322=""),"",IF(E322="Short",(I322-L322)*U322,(L322-I322)*U322))</f>
        <v/>
      </c>
      <c r="X322" s="110">
        <f>IF(W322="","",W322-IF(M322="",0,M322))</f>
        <v/>
      </c>
      <c r="Y322" s="111">
        <f>IF(OR(X322="",H322="",H322=0),"",X322/H322)</f>
        <v/>
      </c>
      <c r="Z322" s="112">
        <f>IF(OR(I322="",J322="",U322=""),"",ABS(I322-J322)*U322)</f>
        <v/>
      </c>
      <c r="AA322" s="113">
        <f>IF(OR(X322="",Z322="",Z322=0),"",X322/Z322)</f>
        <v/>
      </c>
      <c r="AB322" s="114">
        <f>IF(OR(I322="",J322="",K322="",I322=J322),"",ABS(K322-I322)/ABS(I322-J322))</f>
        <v/>
      </c>
      <c r="AC322" s="51">
        <f>IF(OR(B322="",D322="",H322="",I322=""),"",IF(L322="","Ouvert",IF(X322&gt;0,"Gagné",IF(X322&lt;0,"Perdu","Neutre"))))</f>
        <v/>
      </c>
      <c r="AD322" s="115">
        <f>IF(X322="","",IF(C322="",B322,C322))</f>
        <v/>
      </c>
      <c r="AE322" s="109">
        <f>IF(B322="","",WEEKDAY(B322,2))</f>
        <v/>
      </c>
      <c r="AF322" s="112">
        <f>IF(X322="","",'Paramètres'!$C$9+SUM($X$6:X322))</f>
        <v/>
      </c>
      <c r="AG322" s="112">
        <f>IF(AF322="","",MAX('Paramètres'!$C$9,MAX($AF$6:AF322)))</f>
        <v/>
      </c>
      <c r="AH322" s="116">
        <f>IF(AF322="","",AF322/AG322-1)</f>
        <v/>
      </c>
      <c r="AI322" s="109">
        <f>IF(X322="","",IF(X322&gt;0,IF(N(AI321)&gt;0,N(AI321)+1,1),IF(X322&lt;0,IF(N(AI321)&lt;0,N(AI321)-1,-1),0)))</f>
        <v/>
      </c>
      <c r="AJ322" s="116">
        <f>IF(Z322="","",IFERROR(Z322/('Paramètres'!$C$9+SUM($X$5:X321)),""))</f>
        <v/>
      </c>
      <c r="AK322" s="109">
        <f>IF(AC322="Ouvert",COUNTIF($AC$6:AC322,"Ouvert"),"")</f>
        <v/>
      </c>
    </row>
    <row r="323" ht="19" customHeight="1">
      <c r="A323" s="104">
        <f>IF(B323="","",ROW()-5)</f>
        <v/>
      </c>
      <c r="B323" s="61" t="n"/>
      <c r="C323" s="61" t="n"/>
      <c r="D323" s="105" t="n"/>
      <c r="E323" s="49" t="n"/>
      <c r="F323" s="105" t="n"/>
      <c r="G323" s="49" t="n"/>
      <c r="H323" s="106" t="n"/>
      <c r="I323" s="107" t="n"/>
      <c r="J323" s="107" t="n"/>
      <c r="K323" s="107" t="n"/>
      <c r="L323" s="107" t="n"/>
      <c r="M323" s="106" t="n"/>
      <c r="N323" s="62" t="n"/>
      <c r="O323" s="49" t="n"/>
      <c r="P323" s="49" t="n"/>
      <c r="Q323" s="105" t="n"/>
      <c r="R323" s="105" t="n"/>
      <c r="S323" s="105" t="n"/>
      <c r="T323" s="105" t="n"/>
      <c r="U323" s="108">
        <f>IF(OR(H323="",I323="",I323=0),"",H323/I323)</f>
        <v/>
      </c>
      <c r="V323" s="109">
        <f>IF(OR(B323="",C323="",L323=""),"",MAX(0,C323-B323))</f>
        <v/>
      </c>
      <c r="W323" s="110">
        <f>IF(OR(L323="",U323=""),"",IF(E323="Short",(I323-L323)*U323,(L323-I323)*U323))</f>
        <v/>
      </c>
      <c r="X323" s="110">
        <f>IF(W323="","",W323-IF(M323="",0,M323))</f>
        <v/>
      </c>
      <c r="Y323" s="111">
        <f>IF(OR(X323="",H323="",H323=0),"",X323/H323)</f>
        <v/>
      </c>
      <c r="Z323" s="112">
        <f>IF(OR(I323="",J323="",U323=""),"",ABS(I323-J323)*U323)</f>
        <v/>
      </c>
      <c r="AA323" s="113">
        <f>IF(OR(X323="",Z323="",Z323=0),"",X323/Z323)</f>
        <v/>
      </c>
      <c r="AB323" s="114">
        <f>IF(OR(I323="",J323="",K323="",I323=J323),"",ABS(K323-I323)/ABS(I323-J323))</f>
        <v/>
      </c>
      <c r="AC323" s="51">
        <f>IF(OR(B323="",D323="",H323="",I323=""),"",IF(L323="","Ouvert",IF(X323&gt;0,"Gagné",IF(X323&lt;0,"Perdu","Neutre"))))</f>
        <v/>
      </c>
      <c r="AD323" s="115">
        <f>IF(X323="","",IF(C323="",B323,C323))</f>
        <v/>
      </c>
      <c r="AE323" s="109">
        <f>IF(B323="","",WEEKDAY(B323,2))</f>
        <v/>
      </c>
      <c r="AF323" s="112">
        <f>IF(X323="","",'Paramètres'!$C$9+SUM($X$6:X323))</f>
        <v/>
      </c>
      <c r="AG323" s="112">
        <f>IF(AF323="","",MAX('Paramètres'!$C$9,MAX($AF$6:AF323)))</f>
        <v/>
      </c>
      <c r="AH323" s="116">
        <f>IF(AF323="","",AF323/AG323-1)</f>
        <v/>
      </c>
      <c r="AI323" s="109">
        <f>IF(X323="","",IF(X323&gt;0,IF(N(AI322)&gt;0,N(AI322)+1,1),IF(X323&lt;0,IF(N(AI322)&lt;0,N(AI322)-1,-1),0)))</f>
        <v/>
      </c>
      <c r="AJ323" s="116">
        <f>IF(Z323="","",IFERROR(Z323/('Paramètres'!$C$9+SUM($X$5:X322)),""))</f>
        <v/>
      </c>
      <c r="AK323" s="109">
        <f>IF(AC323="Ouvert",COUNTIF($AC$6:AC323,"Ouvert"),"")</f>
        <v/>
      </c>
    </row>
    <row r="324" ht="19" customHeight="1">
      <c r="A324" s="104">
        <f>IF(B324="","",ROW()-5)</f>
        <v/>
      </c>
      <c r="B324" s="61" t="n"/>
      <c r="C324" s="61" t="n"/>
      <c r="D324" s="105" t="n"/>
      <c r="E324" s="49" t="n"/>
      <c r="F324" s="105" t="n"/>
      <c r="G324" s="49" t="n"/>
      <c r="H324" s="106" t="n"/>
      <c r="I324" s="107" t="n"/>
      <c r="J324" s="107" t="n"/>
      <c r="K324" s="107" t="n"/>
      <c r="L324" s="107" t="n"/>
      <c r="M324" s="106" t="n"/>
      <c r="N324" s="62" t="n"/>
      <c r="O324" s="49" t="n"/>
      <c r="P324" s="49" t="n"/>
      <c r="Q324" s="105" t="n"/>
      <c r="R324" s="105" t="n"/>
      <c r="S324" s="105" t="n"/>
      <c r="T324" s="105" t="n"/>
      <c r="U324" s="108">
        <f>IF(OR(H324="",I324="",I324=0),"",H324/I324)</f>
        <v/>
      </c>
      <c r="V324" s="109">
        <f>IF(OR(B324="",C324="",L324=""),"",MAX(0,C324-B324))</f>
        <v/>
      </c>
      <c r="W324" s="110">
        <f>IF(OR(L324="",U324=""),"",IF(E324="Short",(I324-L324)*U324,(L324-I324)*U324))</f>
        <v/>
      </c>
      <c r="X324" s="110">
        <f>IF(W324="","",W324-IF(M324="",0,M324))</f>
        <v/>
      </c>
      <c r="Y324" s="111">
        <f>IF(OR(X324="",H324="",H324=0),"",X324/H324)</f>
        <v/>
      </c>
      <c r="Z324" s="112">
        <f>IF(OR(I324="",J324="",U324=""),"",ABS(I324-J324)*U324)</f>
        <v/>
      </c>
      <c r="AA324" s="113">
        <f>IF(OR(X324="",Z324="",Z324=0),"",X324/Z324)</f>
        <v/>
      </c>
      <c r="AB324" s="114">
        <f>IF(OR(I324="",J324="",K324="",I324=J324),"",ABS(K324-I324)/ABS(I324-J324))</f>
        <v/>
      </c>
      <c r="AC324" s="51">
        <f>IF(OR(B324="",D324="",H324="",I324=""),"",IF(L324="","Ouvert",IF(X324&gt;0,"Gagné",IF(X324&lt;0,"Perdu","Neutre"))))</f>
        <v/>
      </c>
      <c r="AD324" s="115">
        <f>IF(X324="","",IF(C324="",B324,C324))</f>
        <v/>
      </c>
      <c r="AE324" s="109">
        <f>IF(B324="","",WEEKDAY(B324,2))</f>
        <v/>
      </c>
      <c r="AF324" s="112">
        <f>IF(X324="","",'Paramètres'!$C$9+SUM($X$6:X324))</f>
        <v/>
      </c>
      <c r="AG324" s="112">
        <f>IF(AF324="","",MAX('Paramètres'!$C$9,MAX($AF$6:AF324)))</f>
        <v/>
      </c>
      <c r="AH324" s="116">
        <f>IF(AF324="","",AF324/AG324-1)</f>
        <v/>
      </c>
      <c r="AI324" s="109">
        <f>IF(X324="","",IF(X324&gt;0,IF(N(AI323)&gt;0,N(AI323)+1,1),IF(X324&lt;0,IF(N(AI323)&lt;0,N(AI323)-1,-1),0)))</f>
        <v/>
      </c>
      <c r="AJ324" s="116">
        <f>IF(Z324="","",IFERROR(Z324/('Paramètres'!$C$9+SUM($X$5:X323)),""))</f>
        <v/>
      </c>
      <c r="AK324" s="109">
        <f>IF(AC324="Ouvert",COUNTIF($AC$6:AC324,"Ouvert"),"")</f>
        <v/>
      </c>
    </row>
    <row r="325" ht="19" customHeight="1">
      <c r="A325" s="104">
        <f>IF(B325="","",ROW()-5)</f>
        <v/>
      </c>
      <c r="B325" s="61" t="n"/>
      <c r="C325" s="61" t="n"/>
      <c r="D325" s="105" t="n"/>
      <c r="E325" s="49" t="n"/>
      <c r="F325" s="105" t="n"/>
      <c r="G325" s="49" t="n"/>
      <c r="H325" s="106" t="n"/>
      <c r="I325" s="107" t="n"/>
      <c r="J325" s="107" t="n"/>
      <c r="K325" s="107" t="n"/>
      <c r="L325" s="107" t="n"/>
      <c r="M325" s="106" t="n"/>
      <c r="N325" s="62" t="n"/>
      <c r="O325" s="49" t="n"/>
      <c r="P325" s="49" t="n"/>
      <c r="Q325" s="105" t="n"/>
      <c r="R325" s="105" t="n"/>
      <c r="S325" s="105" t="n"/>
      <c r="T325" s="105" t="n"/>
      <c r="U325" s="108">
        <f>IF(OR(H325="",I325="",I325=0),"",H325/I325)</f>
        <v/>
      </c>
      <c r="V325" s="109">
        <f>IF(OR(B325="",C325="",L325=""),"",MAX(0,C325-B325))</f>
        <v/>
      </c>
      <c r="W325" s="110">
        <f>IF(OR(L325="",U325=""),"",IF(E325="Short",(I325-L325)*U325,(L325-I325)*U325))</f>
        <v/>
      </c>
      <c r="X325" s="110">
        <f>IF(W325="","",W325-IF(M325="",0,M325))</f>
        <v/>
      </c>
      <c r="Y325" s="111">
        <f>IF(OR(X325="",H325="",H325=0),"",X325/H325)</f>
        <v/>
      </c>
      <c r="Z325" s="112">
        <f>IF(OR(I325="",J325="",U325=""),"",ABS(I325-J325)*U325)</f>
        <v/>
      </c>
      <c r="AA325" s="113">
        <f>IF(OR(X325="",Z325="",Z325=0),"",X325/Z325)</f>
        <v/>
      </c>
      <c r="AB325" s="114">
        <f>IF(OR(I325="",J325="",K325="",I325=J325),"",ABS(K325-I325)/ABS(I325-J325))</f>
        <v/>
      </c>
      <c r="AC325" s="51">
        <f>IF(OR(B325="",D325="",H325="",I325=""),"",IF(L325="","Ouvert",IF(X325&gt;0,"Gagné",IF(X325&lt;0,"Perdu","Neutre"))))</f>
        <v/>
      </c>
      <c r="AD325" s="115">
        <f>IF(X325="","",IF(C325="",B325,C325))</f>
        <v/>
      </c>
      <c r="AE325" s="109">
        <f>IF(B325="","",WEEKDAY(B325,2))</f>
        <v/>
      </c>
      <c r="AF325" s="112">
        <f>IF(X325="","",'Paramètres'!$C$9+SUM($X$6:X325))</f>
        <v/>
      </c>
      <c r="AG325" s="112">
        <f>IF(AF325="","",MAX('Paramètres'!$C$9,MAX($AF$6:AF325)))</f>
        <v/>
      </c>
      <c r="AH325" s="116">
        <f>IF(AF325="","",AF325/AG325-1)</f>
        <v/>
      </c>
      <c r="AI325" s="109">
        <f>IF(X325="","",IF(X325&gt;0,IF(N(AI324)&gt;0,N(AI324)+1,1),IF(X325&lt;0,IF(N(AI324)&lt;0,N(AI324)-1,-1),0)))</f>
        <v/>
      </c>
      <c r="AJ325" s="116">
        <f>IF(Z325="","",IFERROR(Z325/('Paramètres'!$C$9+SUM($X$5:X324)),""))</f>
        <v/>
      </c>
      <c r="AK325" s="109">
        <f>IF(AC325="Ouvert",COUNTIF($AC$6:AC325,"Ouvert"),"")</f>
        <v/>
      </c>
    </row>
    <row r="326" ht="19" customHeight="1">
      <c r="A326" s="104">
        <f>IF(B326="","",ROW()-5)</f>
        <v/>
      </c>
      <c r="B326" s="61" t="n"/>
      <c r="C326" s="61" t="n"/>
      <c r="D326" s="105" t="n"/>
      <c r="E326" s="49" t="n"/>
      <c r="F326" s="105" t="n"/>
      <c r="G326" s="49" t="n"/>
      <c r="H326" s="106" t="n"/>
      <c r="I326" s="107" t="n"/>
      <c r="J326" s="107" t="n"/>
      <c r="K326" s="107" t="n"/>
      <c r="L326" s="107" t="n"/>
      <c r="M326" s="106" t="n"/>
      <c r="N326" s="62" t="n"/>
      <c r="O326" s="49" t="n"/>
      <c r="P326" s="49" t="n"/>
      <c r="Q326" s="105" t="n"/>
      <c r="R326" s="105" t="n"/>
      <c r="S326" s="105" t="n"/>
      <c r="T326" s="105" t="n"/>
      <c r="U326" s="108">
        <f>IF(OR(H326="",I326="",I326=0),"",H326/I326)</f>
        <v/>
      </c>
      <c r="V326" s="109">
        <f>IF(OR(B326="",C326="",L326=""),"",MAX(0,C326-B326))</f>
        <v/>
      </c>
      <c r="W326" s="110">
        <f>IF(OR(L326="",U326=""),"",IF(E326="Short",(I326-L326)*U326,(L326-I326)*U326))</f>
        <v/>
      </c>
      <c r="X326" s="110">
        <f>IF(W326="","",W326-IF(M326="",0,M326))</f>
        <v/>
      </c>
      <c r="Y326" s="111">
        <f>IF(OR(X326="",H326="",H326=0),"",X326/H326)</f>
        <v/>
      </c>
      <c r="Z326" s="112">
        <f>IF(OR(I326="",J326="",U326=""),"",ABS(I326-J326)*U326)</f>
        <v/>
      </c>
      <c r="AA326" s="113">
        <f>IF(OR(X326="",Z326="",Z326=0),"",X326/Z326)</f>
        <v/>
      </c>
      <c r="AB326" s="114">
        <f>IF(OR(I326="",J326="",K326="",I326=J326),"",ABS(K326-I326)/ABS(I326-J326))</f>
        <v/>
      </c>
      <c r="AC326" s="51">
        <f>IF(OR(B326="",D326="",H326="",I326=""),"",IF(L326="","Ouvert",IF(X326&gt;0,"Gagné",IF(X326&lt;0,"Perdu","Neutre"))))</f>
        <v/>
      </c>
      <c r="AD326" s="115">
        <f>IF(X326="","",IF(C326="",B326,C326))</f>
        <v/>
      </c>
      <c r="AE326" s="109">
        <f>IF(B326="","",WEEKDAY(B326,2))</f>
        <v/>
      </c>
      <c r="AF326" s="112">
        <f>IF(X326="","",'Paramètres'!$C$9+SUM($X$6:X326))</f>
        <v/>
      </c>
      <c r="AG326" s="112">
        <f>IF(AF326="","",MAX('Paramètres'!$C$9,MAX($AF$6:AF326)))</f>
        <v/>
      </c>
      <c r="AH326" s="116">
        <f>IF(AF326="","",AF326/AG326-1)</f>
        <v/>
      </c>
      <c r="AI326" s="109">
        <f>IF(X326="","",IF(X326&gt;0,IF(N(AI325)&gt;0,N(AI325)+1,1),IF(X326&lt;0,IF(N(AI325)&lt;0,N(AI325)-1,-1),0)))</f>
        <v/>
      </c>
      <c r="AJ326" s="116">
        <f>IF(Z326="","",IFERROR(Z326/('Paramètres'!$C$9+SUM($X$5:X325)),""))</f>
        <v/>
      </c>
      <c r="AK326" s="109">
        <f>IF(AC326="Ouvert",COUNTIF($AC$6:AC326,"Ouvert"),"")</f>
        <v/>
      </c>
    </row>
    <row r="327" ht="19" customHeight="1">
      <c r="A327" s="104">
        <f>IF(B327="","",ROW()-5)</f>
        <v/>
      </c>
      <c r="B327" s="61" t="n"/>
      <c r="C327" s="61" t="n"/>
      <c r="D327" s="105" t="n"/>
      <c r="E327" s="49" t="n"/>
      <c r="F327" s="105" t="n"/>
      <c r="G327" s="49" t="n"/>
      <c r="H327" s="106" t="n"/>
      <c r="I327" s="107" t="n"/>
      <c r="J327" s="107" t="n"/>
      <c r="K327" s="107" t="n"/>
      <c r="L327" s="107" t="n"/>
      <c r="M327" s="106" t="n"/>
      <c r="N327" s="62" t="n"/>
      <c r="O327" s="49" t="n"/>
      <c r="P327" s="49" t="n"/>
      <c r="Q327" s="105" t="n"/>
      <c r="R327" s="105" t="n"/>
      <c r="S327" s="105" t="n"/>
      <c r="T327" s="105" t="n"/>
      <c r="U327" s="108">
        <f>IF(OR(H327="",I327="",I327=0),"",H327/I327)</f>
        <v/>
      </c>
      <c r="V327" s="109">
        <f>IF(OR(B327="",C327="",L327=""),"",MAX(0,C327-B327))</f>
        <v/>
      </c>
      <c r="W327" s="110">
        <f>IF(OR(L327="",U327=""),"",IF(E327="Short",(I327-L327)*U327,(L327-I327)*U327))</f>
        <v/>
      </c>
      <c r="X327" s="110">
        <f>IF(W327="","",W327-IF(M327="",0,M327))</f>
        <v/>
      </c>
      <c r="Y327" s="111">
        <f>IF(OR(X327="",H327="",H327=0),"",X327/H327)</f>
        <v/>
      </c>
      <c r="Z327" s="112">
        <f>IF(OR(I327="",J327="",U327=""),"",ABS(I327-J327)*U327)</f>
        <v/>
      </c>
      <c r="AA327" s="113">
        <f>IF(OR(X327="",Z327="",Z327=0),"",X327/Z327)</f>
        <v/>
      </c>
      <c r="AB327" s="114">
        <f>IF(OR(I327="",J327="",K327="",I327=J327),"",ABS(K327-I327)/ABS(I327-J327))</f>
        <v/>
      </c>
      <c r="AC327" s="51">
        <f>IF(OR(B327="",D327="",H327="",I327=""),"",IF(L327="","Ouvert",IF(X327&gt;0,"Gagné",IF(X327&lt;0,"Perdu","Neutre"))))</f>
        <v/>
      </c>
      <c r="AD327" s="115">
        <f>IF(X327="","",IF(C327="",B327,C327))</f>
        <v/>
      </c>
      <c r="AE327" s="109">
        <f>IF(B327="","",WEEKDAY(B327,2))</f>
        <v/>
      </c>
      <c r="AF327" s="112">
        <f>IF(X327="","",'Paramètres'!$C$9+SUM($X$6:X327))</f>
        <v/>
      </c>
      <c r="AG327" s="112">
        <f>IF(AF327="","",MAX('Paramètres'!$C$9,MAX($AF$6:AF327)))</f>
        <v/>
      </c>
      <c r="AH327" s="116">
        <f>IF(AF327="","",AF327/AG327-1)</f>
        <v/>
      </c>
      <c r="AI327" s="109">
        <f>IF(X327="","",IF(X327&gt;0,IF(N(AI326)&gt;0,N(AI326)+1,1),IF(X327&lt;0,IF(N(AI326)&lt;0,N(AI326)-1,-1),0)))</f>
        <v/>
      </c>
      <c r="AJ327" s="116">
        <f>IF(Z327="","",IFERROR(Z327/('Paramètres'!$C$9+SUM($X$5:X326)),""))</f>
        <v/>
      </c>
      <c r="AK327" s="109">
        <f>IF(AC327="Ouvert",COUNTIF($AC$6:AC327,"Ouvert"),"")</f>
        <v/>
      </c>
    </row>
    <row r="328" ht="19" customHeight="1">
      <c r="A328" s="104">
        <f>IF(B328="","",ROW()-5)</f>
        <v/>
      </c>
      <c r="B328" s="61" t="n"/>
      <c r="C328" s="61" t="n"/>
      <c r="D328" s="105" t="n"/>
      <c r="E328" s="49" t="n"/>
      <c r="F328" s="105" t="n"/>
      <c r="G328" s="49" t="n"/>
      <c r="H328" s="106" t="n"/>
      <c r="I328" s="107" t="n"/>
      <c r="J328" s="107" t="n"/>
      <c r="K328" s="107" t="n"/>
      <c r="L328" s="107" t="n"/>
      <c r="M328" s="106" t="n"/>
      <c r="N328" s="62" t="n"/>
      <c r="O328" s="49" t="n"/>
      <c r="P328" s="49" t="n"/>
      <c r="Q328" s="105" t="n"/>
      <c r="R328" s="105" t="n"/>
      <c r="S328" s="105" t="n"/>
      <c r="T328" s="105" t="n"/>
      <c r="U328" s="108">
        <f>IF(OR(H328="",I328="",I328=0),"",H328/I328)</f>
        <v/>
      </c>
      <c r="V328" s="109">
        <f>IF(OR(B328="",C328="",L328=""),"",MAX(0,C328-B328))</f>
        <v/>
      </c>
      <c r="W328" s="110">
        <f>IF(OR(L328="",U328=""),"",IF(E328="Short",(I328-L328)*U328,(L328-I328)*U328))</f>
        <v/>
      </c>
      <c r="X328" s="110">
        <f>IF(W328="","",W328-IF(M328="",0,M328))</f>
        <v/>
      </c>
      <c r="Y328" s="111">
        <f>IF(OR(X328="",H328="",H328=0),"",X328/H328)</f>
        <v/>
      </c>
      <c r="Z328" s="112">
        <f>IF(OR(I328="",J328="",U328=""),"",ABS(I328-J328)*U328)</f>
        <v/>
      </c>
      <c r="AA328" s="113">
        <f>IF(OR(X328="",Z328="",Z328=0),"",X328/Z328)</f>
        <v/>
      </c>
      <c r="AB328" s="114">
        <f>IF(OR(I328="",J328="",K328="",I328=J328),"",ABS(K328-I328)/ABS(I328-J328))</f>
        <v/>
      </c>
      <c r="AC328" s="51">
        <f>IF(OR(B328="",D328="",H328="",I328=""),"",IF(L328="","Ouvert",IF(X328&gt;0,"Gagné",IF(X328&lt;0,"Perdu","Neutre"))))</f>
        <v/>
      </c>
      <c r="AD328" s="115">
        <f>IF(X328="","",IF(C328="",B328,C328))</f>
        <v/>
      </c>
      <c r="AE328" s="109">
        <f>IF(B328="","",WEEKDAY(B328,2))</f>
        <v/>
      </c>
      <c r="AF328" s="112">
        <f>IF(X328="","",'Paramètres'!$C$9+SUM($X$6:X328))</f>
        <v/>
      </c>
      <c r="AG328" s="112">
        <f>IF(AF328="","",MAX('Paramètres'!$C$9,MAX($AF$6:AF328)))</f>
        <v/>
      </c>
      <c r="AH328" s="116">
        <f>IF(AF328="","",AF328/AG328-1)</f>
        <v/>
      </c>
      <c r="AI328" s="109">
        <f>IF(X328="","",IF(X328&gt;0,IF(N(AI327)&gt;0,N(AI327)+1,1),IF(X328&lt;0,IF(N(AI327)&lt;0,N(AI327)-1,-1),0)))</f>
        <v/>
      </c>
      <c r="AJ328" s="116">
        <f>IF(Z328="","",IFERROR(Z328/('Paramètres'!$C$9+SUM($X$5:X327)),""))</f>
        <v/>
      </c>
      <c r="AK328" s="109">
        <f>IF(AC328="Ouvert",COUNTIF($AC$6:AC328,"Ouvert"),"")</f>
        <v/>
      </c>
    </row>
    <row r="329" ht="19" customHeight="1">
      <c r="A329" s="104">
        <f>IF(B329="","",ROW()-5)</f>
        <v/>
      </c>
      <c r="B329" s="61" t="n"/>
      <c r="C329" s="61" t="n"/>
      <c r="D329" s="105" t="n"/>
      <c r="E329" s="49" t="n"/>
      <c r="F329" s="105" t="n"/>
      <c r="G329" s="49" t="n"/>
      <c r="H329" s="106" t="n"/>
      <c r="I329" s="107" t="n"/>
      <c r="J329" s="107" t="n"/>
      <c r="K329" s="107" t="n"/>
      <c r="L329" s="107" t="n"/>
      <c r="M329" s="106" t="n"/>
      <c r="N329" s="62" t="n"/>
      <c r="O329" s="49" t="n"/>
      <c r="P329" s="49" t="n"/>
      <c r="Q329" s="105" t="n"/>
      <c r="R329" s="105" t="n"/>
      <c r="S329" s="105" t="n"/>
      <c r="T329" s="105" t="n"/>
      <c r="U329" s="108">
        <f>IF(OR(H329="",I329="",I329=0),"",H329/I329)</f>
        <v/>
      </c>
      <c r="V329" s="109">
        <f>IF(OR(B329="",C329="",L329=""),"",MAX(0,C329-B329))</f>
        <v/>
      </c>
      <c r="W329" s="110">
        <f>IF(OR(L329="",U329=""),"",IF(E329="Short",(I329-L329)*U329,(L329-I329)*U329))</f>
        <v/>
      </c>
      <c r="X329" s="110">
        <f>IF(W329="","",W329-IF(M329="",0,M329))</f>
        <v/>
      </c>
      <c r="Y329" s="111">
        <f>IF(OR(X329="",H329="",H329=0),"",X329/H329)</f>
        <v/>
      </c>
      <c r="Z329" s="112">
        <f>IF(OR(I329="",J329="",U329=""),"",ABS(I329-J329)*U329)</f>
        <v/>
      </c>
      <c r="AA329" s="113">
        <f>IF(OR(X329="",Z329="",Z329=0),"",X329/Z329)</f>
        <v/>
      </c>
      <c r="AB329" s="114">
        <f>IF(OR(I329="",J329="",K329="",I329=J329),"",ABS(K329-I329)/ABS(I329-J329))</f>
        <v/>
      </c>
      <c r="AC329" s="51">
        <f>IF(OR(B329="",D329="",H329="",I329=""),"",IF(L329="","Ouvert",IF(X329&gt;0,"Gagné",IF(X329&lt;0,"Perdu","Neutre"))))</f>
        <v/>
      </c>
      <c r="AD329" s="115">
        <f>IF(X329="","",IF(C329="",B329,C329))</f>
        <v/>
      </c>
      <c r="AE329" s="109">
        <f>IF(B329="","",WEEKDAY(B329,2))</f>
        <v/>
      </c>
      <c r="AF329" s="112">
        <f>IF(X329="","",'Paramètres'!$C$9+SUM($X$6:X329))</f>
        <v/>
      </c>
      <c r="AG329" s="112">
        <f>IF(AF329="","",MAX('Paramètres'!$C$9,MAX($AF$6:AF329)))</f>
        <v/>
      </c>
      <c r="AH329" s="116">
        <f>IF(AF329="","",AF329/AG329-1)</f>
        <v/>
      </c>
      <c r="AI329" s="109">
        <f>IF(X329="","",IF(X329&gt;0,IF(N(AI328)&gt;0,N(AI328)+1,1),IF(X329&lt;0,IF(N(AI328)&lt;0,N(AI328)-1,-1),0)))</f>
        <v/>
      </c>
      <c r="AJ329" s="116">
        <f>IF(Z329="","",IFERROR(Z329/('Paramètres'!$C$9+SUM($X$5:X328)),""))</f>
        <v/>
      </c>
      <c r="AK329" s="109">
        <f>IF(AC329="Ouvert",COUNTIF($AC$6:AC329,"Ouvert"),"")</f>
        <v/>
      </c>
    </row>
    <row r="330" ht="19" customHeight="1">
      <c r="A330" s="104">
        <f>IF(B330="","",ROW()-5)</f>
        <v/>
      </c>
      <c r="B330" s="61" t="n"/>
      <c r="C330" s="61" t="n"/>
      <c r="D330" s="105" t="n"/>
      <c r="E330" s="49" t="n"/>
      <c r="F330" s="105" t="n"/>
      <c r="G330" s="49" t="n"/>
      <c r="H330" s="106" t="n"/>
      <c r="I330" s="107" t="n"/>
      <c r="J330" s="107" t="n"/>
      <c r="K330" s="107" t="n"/>
      <c r="L330" s="107" t="n"/>
      <c r="M330" s="106" t="n"/>
      <c r="N330" s="62" t="n"/>
      <c r="O330" s="49" t="n"/>
      <c r="P330" s="49" t="n"/>
      <c r="Q330" s="105" t="n"/>
      <c r="R330" s="105" t="n"/>
      <c r="S330" s="105" t="n"/>
      <c r="T330" s="105" t="n"/>
      <c r="U330" s="108">
        <f>IF(OR(H330="",I330="",I330=0),"",H330/I330)</f>
        <v/>
      </c>
      <c r="V330" s="109">
        <f>IF(OR(B330="",C330="",L330=""),"",MAX(0,C330-B330))</f>
        <v/>
      </c>
      <c r="W330" s="110">
        <f>IF(OR(L330="",U330=""),"",IF(E330="Short",(I330-L330)*U330,(L330-I330)*U330))</f>
        <v/>
      </c>
      <c r="X330" s="110">
        <f>IF(W330="","",W330-IF(M330="",0,M330))</f>
        <v/>
      </c>
      <c r="Y330" s="111">
        <f>IF(OR(X330="",H330="",H330=0),"",X330/H330)</f>
        <v/>
      </c>
      <c r="Z330" s="112">
        <f>IF(OR(I330="",J330="",U330=""),"",ABS(I330-J330)*U330)</f>
        <v/>
      </c>
      <c r="AA330" s="113">
        <f>IF(OR(X330="",Z330="",Z330=0),"",X330/Z330)</f>
        <v/>
      </c>
      <c r="AB330" s="114">
        <f>IF(OR(I330="",J330="",K330="",I330=J330),"",ABS(K330-I330)/ABS(I330-J330))</f>
        <v/>
      </c>
      <c r="AC330" s="51">
        <f>IF(OR(B330="",D330="",H330="",I330=""),"",IF(L330="","Ouvert",IF(X330&gt;0,"Gagné",IF(X330&lt;0,"Perdu","Neutre"))))</f>
        <v/>
      </c>
      <c r="AD330" s="115">
        <f>IF(X330="","",IF(C330="",B330,C330))</f>
        <v/>
      </c>
      <c r="AE330" s="109">
        <f>IF(B330="","",WEEKDAY(B330,2))</f>
        <v/>
      </c>
      <c r="AF330" s="112">
        <f>IF(X330="","",'Paramètres'!$C$9+SUM($X$6:X330))</f>
        <v/>
      </c>
      <c r="AG330" s="112">
        <f>IF(AF330="","",MAX('Paramètres'!$C$9,MAX($AF$6:AF330)))</f>
        <v/>
      </c>
      <c r="AH330" s="116">
        <f>IF(AF330="","",AF330/AG330-1)</f>
        <v/>
      </c>
      <c r="AI330" s="109">
        <f>IF(X330="","",IF(X330&gt;0,IF(N(AI329)&gt;0,N(AI329)+1,1),IF(X330&lt;0,IF(N(AI329)&lt;0,N(AI329)-1,-1),0)))</f>
        <v/>
      </c>
      <c r="AJ330" s="116">
        <f>IF(Z330="","",IFERROR(Z330/('Paramètres'!$C$9+SUM($X$5:X329)),""))</f>
        <v/>
      </c>
      <c r="AK330" s="109">
        <f>IF(AC330="Ouvert",COUNTIF($AC$6:AC330,"Ouvert"),"")</f>
        <v/>
      </c>
    </row>
    <row r="331" ht="19" customHeight="1">
      <c r="A331" s="104">
        <f>IF(B331="","",ROW()-5)</f>
        <v/>
      </c>
      <c r="B331" s="61" t="n"/>
      <c r="C331" s="61" t="n"/>
      <c r="D331" s="105" t="n"/>
      <c r="E331" s="49" t="n"/>
      <c r="F331" s="105" t="n"/>
      <c r="G331" s="49" t="n"/>
      <c r="H331" s="106" t="n"/>
      <c r="I331" s="107" t="n"/>
      <c r="J331" s="107" t="n"/>
      <c r="K331" s="107" t="n"/>
      <c r="L331" s="107" t="n"/>
      <c r="M331" s="106" t="n"/>
      <c r="N331" s="62" t="n"/>
      <c r="O331" s="49" t="n"/>
      <c r="P331" s="49" t="n"/>
      <c r="Q331" s="105" t="n"/>
      <c r="R331" s="105" t="n"/>
      <c r="S331" s="105" t="n"/>
      <c r="T331" s="105" t="n"/>
      <c r="U331" s="108">
        <f>IF(OR(H331="",I331="",I331=0),"",H331/I331)</f>
        <v/>
      </c>
      <c r="V331" s="109">
        <f>IF(OR(B331="",C331="",L331=""),"",MAX(0,C331-B331))</f>
        <v/>
      </c>
      <c r="W331" s="110">
        <f>IF(OR(L331="",U331=""),"",IF(E331="Short",(I331-L331)*U331,(L331-I331)*U331))</f>
        <v/>
      </c>
      <c r="X331" s="110">
        <f>IF(W331="","",W331-IF(M331="",0,M331))</f>
        <v/>
      </c>
      <c r="Y331" s="111">
        <f>IF(OR(X331="",H331="",H331=0),"",X331/H331)</f>
        <v/>
      </c>
      <c r="Z331" s="112">
        <f>IF(OR(I331="",J331="",U331=""),"",ABS(I331-J331)*U331)</f>
        <v/>
      </c>
      <c r="AA331" s="113">
        <f>IF(OR(X331="",Z331="",Z331=0),"",X331/Z331)</f>
        <v/>
      </c>
      <c r="AB331" s="114">
        <f>IF(OR(I331="",J331="",K331="",I331=J331),"",ABS(K331-I331)/ABS(I331-J331))</f>
        <v/>
      </c>
      <c r="AC331" s="51">
        <f>IF(OR(B331="",D331="",H331="",I331=""),"",IF(L331="","Ouvert",IF(X331&gt;0,"Gagné",IF(X331&lt;0,"Perdu","Neutre"))))</f>
        <v/>
      </c>
      <c r="AD331" s="115">
        <f>IF(X331="","",IF(C331="",B331,C331))</f>
        <v/>
      </c>
      <c r="AE331" s="109">
        <f>IF(B331="","",WEEKDAY(B331,2))</f>
        <v/>
      </c>
      <c r="AF331" s="112">
        <f>IF(X331="","",'Paramètres'!$C$9+SUM($X$6:X331))</f>
        <v/>
      </c>
      <c r="AG331" s="112">
        <f>IF(AF331="","",MAX('Paramètres'!$C$9,MAX($AF$6:AF331)))</f>
        <v/>
      </c>
      <c r="AH331" s="116">
        <f>IF(AF331="","",AF331/AG331-1)</f>
        <v/>
      </c>
      <c r="AI331" s="109">
        <f>IF(X331="","",IF(X331&gt;0,IF(N(AI330)&gt;0,N(AI330)+1,1),IF(X331&lt;0,IF(N(AI330)&lt;0,N(AI330)-1,-1),0)))</f>
        <v/>
      </c>
      <c r="AJ331" s="116">
        <f>IF(Z331="","",IFERROR(Z331/('Paramètres'!$C$9+SUM($X$5:X330)),""))</f>
        <v/>
      </c>
      <c r="AK331" s="109">
        <f>IF(AC331="Ouvert",COUNTIF($AC$6:AC331,"Ouvert"),"")</f>
        <v/>
      </c>
    </row>
    <row r="332" ht="19" customHeight="1">
      <c r="A332" s="104">
        <f>IF(B332="","",ROW()-5)</f>
        <v/>
      </c>
      <c r="B332" s="61" t="n"/>
      <c r="C332" s="61" t="n"/>
      <c r="D332" s="105" t="n"/>
      <c r="E332" s="49" t="n"/>
      <c r="F332" s="105" t="n"/>
      <c r="G332" s="49" t="n"/>
      <c r="H332" s="106" t="n"/>
      <c r="I332" s="107" t="n"/>
      <c r="J332" s="107" t="n"/>
      <c r="K332" s="107" t="n"/>
      <c r="L332" s="107" t="n"/>
      <c r="M332" s="106" t="n"/>
      <c r="N332" s="62" t="n"/>
      <c r="O332" s="49" t="n"/>
      <c r="P332" s="49" t="n"/>
      <c r="Q332" s="105" t="n"/>
      <c r="R332" s="105" t="n"/>
      <c r="S332" s="105" t="n"/>
      <c r="T332" s="105" t="n"/>
      <c r="U332" s="108">
        <f>IF(OR(H332="",I332="",I332=0),"",H332/I332)</f>
        <v/>
      </c>
      <c r="V332" s="109">
        <f>IF(OR(B332="",C332="",L332=""),"",MAX(0,C332-B332))</f>
        <v/>
      </c>
      <c r="W332" s="110">
        <f>IF(OR(L332="",U332=""),"",IF(E332="Short",(I332-L332)*U332,(L332-I332)*U332))</f>
        <v/>
      </c>
      <c r="X332" s="110">
        <f>IF(W332="","",W332-IF(M332="",0,M332))</f>
        <v/>
      </c>
      <c r="Y332" s="111">
        <f>IF(OR(X332="",H332="",H332=0),"",X332/H332)</f>
        <v/>
      </c>
      <c r="Z332" s="112">
        <f>IF(OR(I332="",J332="",U332=""),"",ABS(I332-J332)*U332)</f>
        <v/>
      </c>
      <c r="AA332" s="113">
        <f>IF(OR(X332="",Z332="",Z332=0),"",X332/Z332)</f>
        <v/>
      </c>
      <c r="AB332" s="114">
        <f>IF(OR(I332="",J332="",K332="",I332=J332),"",ABS(K332-I332)/ABS(I332-J332))</f>
        <v/>
      </c>
      <c r="AC332" s="51">
        <f>IF(OR(B332="",D332="",H332="",I332=""),"",IF(L332="","Ouvert",IF(X332&gt;0,"Gagné",IF(X332&lt;0,"Perdu","Neutre"))))</f>
        <v/>
      </c>
      <c r="AD332" s="115">
        <f>IF(X332="","",IF(C332="",B332,C332))</f>
        <v/>
      </c>
      <c r="AE332" s="109">
        <f>IF(B332="","",WEEKDAY(B332,2))</f>
        <v/>
      </c>
      <c r="AF332" s="112">
        <f>IF(X332="","",'Paramètres'!$C$9+SUM($X$6:X332))</f>
        <v/>
      </c>
      <c r="AG332" s="112">
        <f>IF(AF332="","",MAX('Paramètres'!$C$9,MAX($AF$6:AF332)))</f>
        <v/>
      </c>
      <c r="AH332" s="116">
        <f>IF(AF332="","",AF332/AG332-1)</f>
        <v/>
      </c>
      <c r="AI332" s="109">
        <f>IF(X332="","",IF(X332&gt;0,IF(N(AI331)&gt;0,N(AI331)+1,1),IF(X332&lt;0,IF(N(AI331)&lt;0,N(AI331)-1,-1),0)))</f>
        <v/>
      </c>
      <c r="AJ332" s="116">
        <f>IF(Z332="","",IFERROR(Z332/('Paramètres'!$C$9+SUM($X$5:X331)),""))</f>
        <v/>
      </c>
      <c r="AK332" s="109">
        <f>IF(AC332="Ouvert",COUNTIF($AC$6:AC332,"Ouvert"),"")</f>
        <v/>
      </c>
    </row>
    <row r="333" ht="19" customHeight="1">
      <c r="A333" s="104">
        <f>IF(B333="","",ROW()-5)</f>
        <v/>
      </c>
      <c r="B333" s="61" t="n"/>
      <c r="C333" s="61" t="n"/>
      <c r="D333" s="105" t="n"/>
      <c r="E333" s="49" t="n"/>
      <c r="F333" s="105" t="n"/>
      <c r="G333" s="49" t="n"/>
      <c r="H333" s="106" t="n"/>
      <c r="I333" s="107" t="n"/>
      <c r="J333" s="107" t="n"/>
      <c r="K333" s="107" t="n"/>
      <c r="L333" s="107" t="n"/>
      <c r="M333" s="106" t="n"/>
      <c r="N333" s="62" t="n"/>
      <c r="O333" s="49" t="n"/>
      <c r="P333" s="49" t="n"/>
      <c r="Q333" s="105" t="n"/>
      <c r="R333" s="105" t="n"/>
      <c r="S333" s="105" t="n"/>
      <c r="T333" s="105" t="n"/>
      <c r="U333" s="108">
        <f>IF(OR(H333="",I333="",I333=0),"",H333/I333)</f>
        <v/>
      </c>
      <c r="V333" s="109">
        <f>IF(OR(B333="",C333="",L333=""),"",MAX(0,C333-B333))</f>
        <v/>
      </c>
      <c r="W333" s="110">
        <f>IF(OR(L333="",U333=""),"",IF(E333="Short",(I333-L333)*U333,(L333-I333)*U333))</f>
        <v/>
      </c>
      <c r="X333" s="110">
        <f>IF(W333="","",W333-IF(M333="",0,M333))</f>
        <v/>
      </c>
      <c r="Y333" s="111">
        <f>IF(OR(X333="",H333="",H333=0),"",X333/H333)</f>
        <v/>
      </c>
      <c r="Z333" s="112">
        <f>IF(OR(I333="",J333="",U333=""),"",ABS(I333-J333)*U333)</f>
        <v/>
      </c>
      <c r="AA333" s="113">
        <f>IF(OR(X333="",Z333="",Z333=0),"",X333/Z333)</f>
        <v/>
      </c>
      <c r="AB333" s="114">
        <f>IF(OR(I333="",J333="",K333="",I333=J333),"",ABS(K333-I333)/ABS(I333-J333))</f>
        <v/>
      </c>
      <c r="AC333" s="51">
        <f>IF(OR(B333="",D333="",H333="",I333=""),"",IF(L333="","Ouvert",IF(X333&gt;0,"Gagné",IF(X333&lt;0,"Perdu","Neutre"))))</f>
        <v/>
      </c>
      <c r="AD333" s="115">
        <f>IF(X333="","",IF(C333="",B333,C333))</f>
        <v/>
      </c>
      <c r="AE333" s="109">
        <f>IF(B333="","",WEEKDAY(B333,2))</f>
        <v/>
      </c>
      <c r="AF333" s="112">
        <f>IF(X333="","",'Paramètres'!$C$9+SUM($X$6:X333))</f>
        <v/>
      </c>
      <c r="AG333" s="112">
        <f>IF(AF333="","",MAX('Paramètres'!$C$9,MAX($AF$6:AF333)))</f>
        <v/>
      </c>
      <c r="AH333" s="116">
        <f>IF(AF333="","",AF333/AG333-1)</f>
        <v/>
      </c>
      <c r="AI333" s="109">
        <f>IF(X333="","",IF(X333&gt;0,IF(N(AI332)&gt;0,N(AI332)+1,1),IF(X333&lt;0,IF(N(AI332)&lt;0,N(AI332)-1,-1),0)))</f>
        <v/>
      </c>
      <c r="AJ333" s="116">
        <f>IF(Z333="","",IFERROR(Z333/('Paramètres'!$C$9+SUM($X$5:X332)),""))</f>
        <v/>
      </c>
      <c r="AK333" s="109">
        <f>IF(AC333="Ouvert",COUNTIF($AC$6:AC333,"Ouvert"),"")</f>
        <v/>
      </c>
    </row>
    <row r="334" ht="19" customHeight="1">
      <c r="A334" s="104">
        <f>IF(B334="","",ROW()-5)</f>
        <v/>
      </c>
      <c r="B334" s="61" t="n"/>
      <c r="C334" s="61" t="n"/>
      <c r="D334" s="105" t="n"/>
      <c r="E334" s="49" t="n"/>
      <c r="F334" s="105" t="n"/>
      <c r="G334" s="49" t="n"/>
      <c r="H334" s="106" t="n"/>
      <c r="I334" s="107" t="n"/>
      <c r="J334" s="107" t="n"/>
      <c r="K334" s="107" t="n"/>
      <c r="L334" s="107" t="n"/>
      <c r="M334" s="106" t="n"/>
      <c r="N334" s="62" t="n"/>
      <c r="O334" s="49" t="n"/>
      <c r="P334" s="49" t="n"/>
      <c r="Q334" s="105" t="n"/>
      <c r="R334" s="105" t="n"/>
      <c r="S334" s="105" t="n"/>
      <c r="T334" s="105" t="n"/>
      <c r="U334" s="108">
        <f>IF(OR(H334="",I334="",I334=0),"",H334/I334)</f>
        <v/>
      </c>
      <c r="V334" s="109">
        <f>IF(OR(B334="",C334="",L334=""),"",MAX(0,C334-B334))</f>
        <v/>
      </c>
      <c r="W334" s="110">
        <f>IF(OR(L334="",U334=""),"",IF(E334="Short",(I334-L334)*U334,(L334-I334)*U334))</f>
        <v/>
      </c>
      <c r="X334" s="110">
        <f>IF(W334="","",W334-IF(M334="",0,M334))</f>
        <v/>
      </c>
      <c r="Y334" s="111">
        <f>IF(OR(X334="",H334="",H334=0),"",X334/H334)</f>
        <v/>
      </c>
      <c r="Z334" s="112">
        <f>IF(OR(I334="",J334="",U334=""),"",ABS(I334-J334)*U334)</f>
        <v/>
      </c>
      <c r="AA334" s="113">
        <f>IF(OR(X334="",Z334="",Z334=0),"",X334/Z334)</f>
        <v/>
      </c>
      <c r="AB334" s="114">
        <f>IF(OR(I334="",J334="",K334="",I334=J334),"",ABS(K334-I334)/ABS(I334-J334))</f>
        <v/>
      </c>
      <c r="AC334" s="51">
        <f>IF(OR(B334="",D334="",H334="",I334=""),"",IF(L334="","Ouvert",IF(X334&gt;0,"Gagné",IF(X334&lt;0,"Perdu","Neutre"))))</f>
        <v/>
      </c>
      <c r="AD334" s="115">
        <f>IF(X334="","",IF(C334="",B334,C334))</f>
        <v/>
      </c>
      <c r="AE334" s="109">
        <f>IF(B334="","",WEEKDAY(B334,2))</f>
        <v/>
      </c>
      <c r="AF334" s="112">
        <f>IF(X334="","",'Paramètres'!$C$9+SUM($X$6:X334))</f>
        <v/>
      </c>
      <c r="AG334" s="112">
        <f>IF(AF334="","",MAX('Paramètres'!$C$9,MAX($AF$6:AF334)))</f>
        <v/>
      </c>
      <c r="AH334" s="116">
        <f>IF(AF334="","",AF334/AG334-1)</f>
        <v/>
      </c>
      <c r="AI334" s="109">
        <f>IF(X334="","",IF(X334&gt;0,IF(N(AI333)&gt;0,N(AI333)+1,1),IF(X334&lt;0,IF(N(AI333)&lt;0,N(AI333)-1,-1),0)))</f>
        <v/>
      </c>
      <c r="AJ334" s="116">
        <f>IF(Z334="","",IFERROR(Z334/('Paramètres'!$C$9+SUM($X$5:X333)),""))</f>
        <v/>
      </c>
      <c r="AK334" s="109">
        <f>IF(AC334="Ouvert",COUNTIF($AC$6:AC334,"Ouvert"),"")</f>
        <v/>
      </c>
    </row>
    <row r="335" ht="19" customHeight="1">
      <c r="A335" s="104">
        <f>IF(B335="","",ROW()-5)</f>
        <v/>
      </c>
      <c r="B335" s="61" t="n"/>
      <c r="C335" s="61" t="n"/>
      <c r="D335" s="105" t="n"/>
      <c r="E335" s="49" t="n"/>
      <c r="F335" s="105" t="n"/>
      <c r="G335" s="49" t="n"/>
      <c r="H335" s="106" t="n"/>
      <c r="I335" s="107" t="n"/>
      <c r="J335" s="107" t="n"/>
      <c r="K335" s="107" t="n"/>
      <c r="L335" s="107" t="n"/>
      <c r="M335" s="106" t="n"/>
      <c r="N335" s="62" t="n"/>
      <c r="O335" s="49" t="n"/>
      <c r="P335" s="49" t="n"/>
      <c r="Q335" s="105" t="n"/>
      <c r="R335" s="105" t="n"/>
      <c r="S335" s="105" t="n"/>
      <c r="T335" s="105" t="n"/>
      <c r="U335" s="108">
        <f>IF(OR(H335="",I335="",I335=0),"",H335/I335)</f>
        <v/>
      </c>
      <c r="V335" s="109">
        <f>IF(OR(B335="",C335="",L335=""),"",MAX(0,C335-B335))</f>
        <v/>
      </c>
      <c r="W335" s="110">
        <f>IF(OR(L335="",U335=""),"",IF(E335="Short",(I335-L335)*U335,(L335-I335)*U335))</f>
        <v/>
      </c>
      <c r="X335" s="110">
        <f>IF(W335="","",W335-IF(M335="",0,M335))</f>
        <v/>
      </c>
      <c r="Y335" s="111">
        <f>IF(OR(X335="",H335="",H335=0),"",X335/H335)</f>
        <v/>
      </c>
      <c r="Z335" s="112">
        <f>IF(OR(I335="",J335="",U335=""),"",ABS(I335-J335)*U335)</f>
        <v/>
      </c>
      <c r="AA335" s="113">
        <f>IF(OR(X335="",Z335="",Z335=0),"",X335/Z335)</f>
        <v/>
      </c>
      <c r="AB335" s="114">
        <f>IF(OR(I335="",J335="",K335="",I335=J335),"",ABS(K335-I335)/ABS(I335-J335))</f>
        <v/>
      </c>
      <c r="AC335" s="51">
        <f>IF(OR(B335="",D335="",H335="",I335=""),"",IF(L335="","Ouvert",IF(X335&gt;0,"Gagné",IF(X335&lt;0,"Perdu","Neutre"))))</f>
        <v/>
      </c>
      <c r="AD335" s="115">
        <f>IF(X335="","",IF(C335="",B335,C335))</f>
        <v/>
      </c>
      <c r="AE335" s="109">
        <f>IF(B335="","",WEEKDAY(B335,2))</f>
        <v/>
      </c>
      <c r="AF335" s="112">
        <f>IF(X335="","",'Paramètres'!$C$9+SUM($X$6:X335))</f>
        <v/>
      </c>
      <c r="AG335" s="112">
        <f>IF(AF335="","",MAX('Paramètres'!$C$9,MAX($AF$6:AF335)))</f>
        <v/>
      </c>
      <c r="AH335" s="116">
        <f>IF(AF335="","",AF335/AG335-1)</f>
        <v/>
      </c>
      <c r="AI335" s="109">
        <f>IF(X335="","",IF(X335&gt;0,IF(N(AI334)&gt;0,N(AI334)+1,1),IF(X335&lt;0,IF(N(AI334)&lt;0,N(AI334)-1,-1),0)))</f>
        <v/>
      </c>
      <c r="AJ335" s="116">
        <f>IF(Z335="","",IFERROR(Z335/('Paramètres'!$C$9+SUM($X$5:X334)),""))</f>
        <v/>
      </c>
      <c r="AK335" s="109">
        <f>IF(AC335="Ouvert",COUNTIF($AC$6:AC335,"Ouvert"),"")</f>
        <v/>
      </c>
    </row>
    <row r="336" ht="19" customHeight="1">
      <c r="A336" s="104">
        <f>IF(B336="","",ROW()-5)</f>
        <v/>
      </c>
      <c r="B336" s="61" t="n"/>
      <c r="C336" s="61" t="n"/>
      <c r="D336" s="105" t="n"/>
      <c r="E336" s="49" t="n"/>
      <c r="F336" s="105" t="n"/>
      <c r="G336" s="49" t="n"/>
      <c r="H336" s="106" t="n"/>
      <c r="I336" s="107" t="n"/>
      <c r="J336" s="107" t="n"/>
      <c r="K336" s="107" t="n"/>
      <c r="L336" s="107" t="n"/>
      <c r="M336" s="106" t="n"/>
      <c r="N336" s="62" t="n"/>
      <c r="O336" s="49" t="n"/>
      <c r="P336" s="49" t="n"/>
      <c r="Q336" s="105" t="n"/>
      <c r="R336" s="105" t="n"/>
      <c r="S336" s="105" t="n"/>
      <c r="T336" s="105" t="n"/>
      <c r="U336" s="108">
        <f>IF(OR(H336="",I336="",I336=0),"",H336/I336)</f>
        <v/>
      </c>
      <c r="V336" s="109">
        <f>IF(OR(B336="",C336="",L336=""),"",MAX(0,C336-B336))</f>
        <v/>
      </c>
      <c r="W336" s="110">
        <f>IF(OR(L336="",U336=""),"",IF(E336="Short",(I336-L336)*U336,(L336-I336)*U336))</f>
        <v/>
      </c>
      <c r="X336" s="110">
        <f>IF(W336="","",W336-IF(M336="",0,M336))</f>
        <v/>
      </c>
      <c r="Y336" s="111">
        <f>IF(OR(X336="",H336="",H336=0),"",X336/H336)</f>
        <v/>
      </c>
      <c r="Z336" s="112">
        <f>IF(OR(I336="",J336="",U336=""),"",ABS(I336-J336)*U336)</f>
        <v/>
      </c>
      <c r="AA336" s="113">
        <f>IF(OR(X336="",Z336="",Z336=0),"",X336/Z336)</f>
        <v/>
      </c>
      <c r="AB336" s="114">
        <f>IF(OR(I336="",J336="",K336="",I336=J336),"",ABS(K336-I336)/ABS(I336-J336))</f>
        <v/>
      </c>
      <c r="AC336" s="51">
        <f>IF(OR(B336="",D336="",H336="",I336=""),"",IF(L336="","Ouvert",IF(X336&gt;0,"Gagné",IF(X336&lt;0,"Perdu","Neutre"))))</f>
        <v/>
      </c>
      <c r="AD336" s="115">
        <f>IF(X336="","",IF(C336="",B336,C336))</f>
        <v/>
      </c>
      <c r="AE336" s="109">
        <f>IF(B336="","",WEEKDAY(B336,2))</f>
        <v/>
      </c>
      <c r="AF336" s="112">
        <f>IF(X336="","",'Paramètres'!$C$9+SUM($X$6:X336))</f>
        <v/>
      </c>
      <c r="AG336" s="112">
        <f>IF(AF336="","",MAX('Paramètres'!$C$9,MAX($AF$6:AF336)))</f>
        <v/>
      </c>
      <c r="AH336" s="116">
        <f>IF(AF336="","",AF336/AG336-1)</f>
        <v/>
      </c>
      <c r="AI336" s="109">
        <f>IF(X336="","",IF(X336&gt;0,IF(N(AI335)&gt;0,N(AI335)+1,1),IF(X336&lt;0,IF(N(AI335)&lt;0,N(AI335)-1,-1),0)))</f>
        <v/>
      </c>
      <c r="AJ336" s="116">
        <f>IF(Z336="","",IFERROR(Z336/('Paramètres'!$C$9+SUM($X$5:X335)),""))</f>
        <v/>
      </c>
      <c r="AK336" s="109">
        <f>IF(AC336="Ouvert",COUNTIF($AC$6:AC336,"Ouvert"),"")</f>
        <v/>
      </c>
    </row>
    <row r="337" ht="19" customHeight="1">
      <c r="A337" s="104">
        <f>IF(B337="","",ROW()-5)</f>
        <v/>
      </c>
      <c r="B337" s="61" t="n"/>
      <c r="C337" s="61" t="n"/>
      <c r="D337" s="105" t="n"/>
      <c r="E337" s="49" t="n"/>
      <c r="F337" s="105" t="n"/>
      <c r="G337" s="49" t="n"/>
      <c r="H337" s="106" t="n"/>
      <c r="I337" s="107" t="n"/>
      <c r="J337" s="107" t="n"/>
      <c r="K337" s="107" t="n"/>
      <c r="L337" s="107" t="n"/>
      <c r="M337" s="106" t="n"/>
      <c r="N337" s="62" t="n"/>
      <c r="O337" s="49" t="n"/>
      <c r="P337" s="49" t="n"/>
      <c r="Q337" s="105" t="n"/>
      <c r="R337" s="105" t="n"/>
      <c r="S337" s="105" t="n"/>
      <c r="T337" s="105" t="n"/>
      <c r="U337" s="108">
        <f>IF(OR(H337="",I337="",I337=0),"",H337/I337)</f>
        <v/>
      </c>
      <c r="V337" s="109">
        <f>IF(OR(B337="",C337="",L337=""),"",MAX(0,C337-B337))</f>
        <v/>
      </c>
      <c r="W337" s="110">
        <f>IF(OR(L337="",U337=""),"",IF(E337="Short",(I337-L337)*U337,(L337-I337)*U337))</f>
        <v/>
      </c>
      <c r="X337" s="110">
        <f>IF(W337="","",W337-IF(M337="",0,M337))</f>
        <v/>
      </c>
      <c r="Y337" s="111">
        <f>IF(OR(X337="",H337="",H337=0),"",X337/H337)</f>
        <v/>
      </c>
      <c r="Z337" s="112">
        <f>IF(OR(I337="",J337="",U337=""),"",ABS(I337-J337)*U337)</f>
        <v/>
      </c>
      <c r="AA337" s="113">
        <f>IF(OR(X337="",Z337="",Z337=0),"",X337/Z337)</f>
        <v/>
      </c>
      <c r="AB337" s="114">
        <f>IF(OR(I337="",J337="",K337="",I337=J337),"",ABS(K337-I337)/ABS(I337-J337))</f>
        <v/>
      </c>
      <c r="AC337" s="51">
        <f>IF(OR(B337="",D337="",H337="",I337=""),"",IF(L337="","Ouvert",IF(X337&gt;0,"Gagné",IF(X337&lt;0,"Perdu","Neutre"))))</f>
        <v/>
      </c>
      <c r="AD337" s="115">
        <f>IF(X337="","",IF(C337="",B337,C337))</f>
        <v/>
      </c>
      <c r="AE337" s="109">
        <f>IF(B337="","",WEEKDAY(B337,2))</f>
        <v/>
      </c>
      <c r="AF337" s="112">
        <f>IF(X337="","",'Paramètres'!$C$9+SUM($X$6:X337))</f>
        <v/>
      </c>
      <c r="AG337" s="112">
        <f>IF(AF337="","",MAX('Paramètres'!$C$9,MAX($AF$6:AF337)))</f>
        <v/>
      </c>
      <c r="AH337" s="116">
        <f>IF(AF337="","",AF337/AG337-1)</f>
        <v/>
      </c>
      <c r="AI337" s="109">
        <f>IF(X337="","",IF(X337&gt;0,IF(N(AI336)&gt;0,N(AI336)+1,1),IF(X337&lt;0,IF(N(AI336)&lt;0,N(AI336)-1,-1),0)))</f>
        <v/>
      </c>
      <c r="AJ337" s="116">
        <f>IF(Z337="","",IFERROR(Z337/('Paramètres'!$C$9+SUM($X$5:X336)),""))</f>
        <v/>
      </c>
      <c r="AK337" s="109">
        <f>IF(AC337="Ouvert",COUNTIF($AC$6:AC337,"Ouvert"),"")</f>
        <v/>
      </c>
    </row>
    <row r="338" ht="19" customHeight="1">
      <c r="A338" s="104">
        <f>IF(B338="","",ROW()-5)</f>
        <v/>
      </c>
      <c r="B338" s="61" t="n"/>
      <c r="C338" s="61" t="n"/>
      <c r="D338" s="105" t="n"/>
      <c r="E338" s="49" t="n"/>
      <c r="F338" s="105" t="n"/>
      <c r="G338" s="49" t="n"/>
      <c r="H338" s="106" t="n"/>
      <c r="I338" s="107" t="n"/>
      <c r="J338" s="107" t="n"/>
      <c r="K338" s="107" t="n"/>
      <c r="L338" s="107" t="n"/>
      <c r="M338" s="106" t="n"/>
      <c r="N338" s="62" t="n"/>
      <c r="O338" s="49" t="n"/>
      <c r="P338" s="49" t="n"/>
      <c r="Q338" s="105" t="n"/>
      <c r="R338" s="105" t="n"/>
      <c r="S338" s="105" t="n"/>
      <c r="T338" s="105" t="n"/>
      <c r="U338" s="108">
        <f>IF(OR(H338="",I338="",I338=0),"",H338/I338)</f>
        <v/>
      </c>
      <c r="V338" s="109">
        <f>IF(OR(B338="",C338="",L338=""),"",MAX(0,C338-B338))</f>
        <v/>
      </c>
      <c r="W338" s="110">
        <f>IF(OR(L338="",U338=""),"",IF(E338="Short",(I338-L338)*U338,(L338-I338)*U338))</f>
        <v/>
      </c>
      <c r="X338" s="110">
        <f>IF(W338="","",W338-IF(M338="",0,M338))</f>
        <v/>
      </c>
      <c r="Y338" s="111">
        <f>IF(OR(X338="",H338="",H338=0),"",X338/H338)</f>
        <v/>
      </c>
      <c r="Z338" s="112">
        <f>IF(OR(I338="",J338="",U338=""),"",ABS(I338-J338)*U338)</f>
        <v/>
      </c>
      <c r="AA338" s="113">
        <f>IF(OR(X338="",Z338="",Z338=0),"",X338/Z338)</f>
        <v/>
      </c>
      <c r="AB338" s="114">
        <f>IF(OR(I338="",J338="",K338="",I338=J338),"",ABS(K338-I338)/ABS(I338-J338))</f>
        <v/>
      </c>
      <c r="AC338" s="51">
        <f>IF(OR(B338="",D338="",H338="",I338=""),"",IF(L338="","Ouvert",IF(X338&gt;0,"Gagné",IF(X338&lt;0,"Perdu","Neutre"))))</f>
        <v/>
      </c>
      <c r="AD338" s="115">
        <f>IF(X338="","",IF(C338="",B338,C338))</f>
        <v/>
      </c>
      <c r="AE338" s="109">
        <f>IF(B338="","",WEEKDAY(B338,2))</f>
        <v/>
      </c>
      <c r="AF338" s="112">
        <f>IF(X338="","",'Paramètres'!$C$9+SUM($X$6:X338))</f>
        <v/>
      </c>
      <c r="AG338" s="112">
        <f>IF(AF338="","",MAX('Paramètres'!$C$9,MAX($AF$6:AF338)))</f>
        <v/>
      </c>
      <c r="AH338" s="116">
        <f>IF(AF338="","",AF338/AG338-1)</f>
        <v/>
      </c>
      <c r="AI338" s="109">
        <f>IF(X338="","",IF(X338&gt;0,IF(N(AI337)&gt;0,N(AI337)+1,1),IF(X338&lt;0,IF(N(AI337)&lt;0,N(AI337)-1,-1),0)))</f>
        <v/>
      </c>
      <c r="AJ338" s="116">
        <f>IF(Z338="","",IFERROR(Z338/('Paramètres'!$C$9+SUM($X$5:X337)),""))</f>
        <v/>
      </c>
      <c r="AK338" s="109">
        <f>IF(AC338="Ouvert",COUNTIF($AC$6:AC338,"Ouvert"),"")</f>
        <v/>
      </c>
    </row>
    <row r="339" ht="19" customHeight="1">
      <c r="A339" s="104">
        <f>IF(B339="","",ROW()-5)</f>
        <v/>
      </c>
      <c r="B339" s="61" t="n"/>
      <c r="C339" s="61" t="n"/>
      <c r="D339" s="105" t="n"/>
      <c r="E339" s="49" t="n"/>
      <c r="F339" s="105" t="n"/>
      <c r="G339" s="49" t="n"/>
      <c r="H339" s="106" t="n"/>
      <c r="I339" s="107" t="n"/>
      <c r="J339" s="107" t="n"/>
      <c r="K339" s="107" t="n"/>
      <c r="L339" s="107" t="n"/>
      <c r="M339" s="106" t="n"/>
      <c r="N339" s="62" t="n"/>
      <c r="O339" s="49" t="n"/>
      <c r="P339" s="49" t="n"/>
      <c r="Q339" s="105" t="n"/>
      <c r="R339" s="105" t="n"/>
      <c r="S339" s="105" t="n"/>
      <c r="T339" s="105" t="n"/>
      <c r="U339" s="108">
        <f>IF(OR(H339="",I339="",I339=0),"",H339/I339)</f>
        <v/>
      </c>
      <c r="V339" s="109">
        <f>IF(OR(B339="",C339="",L339=""),"",MAX(0,C339-B339))</f>
        <v/>
      </c>
      <c r="W339" s="110">
        <f>IF(OR(L339="",U339=""),"",IF(E339="Short",(I339-L339)*U339,(L339-I339)*U339))</f>
        <v/>
      </c>
      <c r="X339" s="110">
        <f>IF(W339="","",W339-IF(M339="",0,M339))</f>
        <v/>
      </c>
      <c r="Y339" s="111">
        <f>IF(OR(X339="",H339="",H339=0),"",X339/H339)</f>
        <v/>
      </c>
      <c r="Z339" s="112">
        <f>IF(OR(I339="",J339="",U339=""),"",ABS(I339-J339)*U339)</f>
        <v/>
      </c>
      <c r="AA339" s="113">
        <f>IF(OR(X339="",Z339="",Z339=0),"",X339/Z339)</f>
        <v/>
      </c>
      <c r="AB339" s="114">
        <f>IF(OR(I339="",J339="",K339="",I339=J339),"",ABS(K339-I339)/ABS(I339-J339))</f>
        <v/>
      </c>
      <c r="AC339" s="51">
        <f>IF(OR(B339="",D339="",H339="",I339=""),"",IF(L339="","Ouvert",IF(X339&gt;0,"Gagné",IF(X339&lt;0,"Perdu","Neutre"))))</f>
        <v/>
      </c>
      <c r="AD339" s="115">
        <f>IF(X339="","",IF(C339="",B339,C339))</f>
        <v/>
      </c>
      <c r="AE339" s="109">
        <f>IF(B339="","",WEEKDAY(B339,2))</f>
        <v/>
      </c>
      <c r="AF339" s="112">
        <f>IF(X339="","",'Paramètres'!$C$9+SUM($X$6:X339))</f>
        <v/>
      </c>
      <c r="AG339" s="112">
        <f>IF(AF339="","",MAX('Paramètres'!$C$9,MAX($AF$6:AF339)))</f>
        <v/>
      </c>
      <c r="AH339" s="116">
        <f>IF(AF339="","",AF339/AG339-1)</f>
        <v/>
      </c>
      <c r="AI339" s="109">
        <f>IF(X339="","",IF(X339&gt;0,IF(N(AI338)&gt;0,N(AI338)+1,1),IF(X339&lt;0,IF(N(AI338)&lt;0,N(AI338)-1,-1),0)))</f>
        <v/>
      </c>
      <c r="AJ339" s="116">
        <f>IF(Z339="","",IFERROR(Z339/('Paramètres'!$C$9+SUM($X$5:X338)),""))</f>
        <v/>
      </c>
      <c r="AK339" s="109">
        <f>IF(AC339="Ouvert",COUNTIF($AC$6:AC339,"Ouvert"),"")</f>
        <v/>
      </c>
    </row>
    <row r="340" ht="19" customHeight="1">
      <c r="A340" s="104">
        <f>IF(B340="","",ROW()-5)</f>
        <v/>
      </c>
      <c r="B340" s="61" t="n"/>
      <c r="C340" s="61" t="n"/>
      <c r="D340" s="105" t="n"/>
      <c r="E340" s="49" t="n"/>
      <c r="F340" s="105" t="n"/>
      <c r="G340" s="49" t="n"/>
      <c r="H340" s="106" t="n"/>
      <c r="I340" s="107" t="n"/>
      <c r="J340" s="107" t="n"/>
      <c r="K340" s="107" t="n"/>
      <c r="L340" s="107" t="n"/>
      <c r="M340" s="106" t="n"/>
      <c r="N340" s="62" t="n"/>
      <c r="O340" s="49" t="n"/>
      <c r="P340" s="49" t="n"/>
      <c r="Q340" s="105" t="n"/>
      <c r="R340" s="105" t="n"/>
      <c r="S340" s="105" t="n"/>
      <c r="T340" s="105" t="n"/>
      <c r="U340" s="108">
        <f>IF(OR(H340="",I340="",I340=0),"",H340/I340)</f>
        <v/>
      </c>
      <c r="V340" s="109">
        <f>IF(OR(B340="",C340="",L340=""),"",MAX(0,C340-B340))</f>
        <v/>
      </c>
      <c r="W340" s="110">
        <f>IF(OR(L340="",U340=""),"",IF(E340="Short",(I340-L340)*U340,(L340-I340)*U340))</f>
        <v/>
      </c>
      <c r="X340" s="110">
        <f>IF(W340="","",W340-IF(M340="",0,M340))</f>
        <v/>
      </c>
      <c r="Y340" s="111">
        <f>IF(OR(X340="",H340="",H340=0),"",X340/H340)</f>
        <v/>
      </c>
      <c r="Z340" s="112">
        <f>IF(OR(I340="",J340="",U340=""),"",ABS(I340-J340)*U340)</f>
        <v/>
      </c>
      <c r="AA340" s="113">
        <f>IF(OR(X340="",Z340="",Z340=0),"",X340/Z340)</f>
        <v/>
      </c>
      <c r="AB340" s="114">
        <f>IF(OR(I340="",J340="",K340="",I340=J340),"",ABS(K340-I340)/ABS(I340-J340))</f>
        <v/>
      </c>
      <c r="AC340" s="51">
        <f>IF(OR(B340="",D340="",H340="",I340=""),"",IF(L340="","Ouvert",IF(X340&gt;0,"Gagné",IF(X340&lt;0,"Perdu","Neutre"))))</f>
        <v/>
      </c>
      <c r="AD340" s="115">
        <f>IF(X340="","",IF(C340="",B340,C340))</f>
        <v/>
      </c>
      <c r="AE340" s="109">
        <f>IF(B340="","",WEEKDAY(B340,2))</f>
        <v/>
      </c>
      <c r="AF340" s="112">
        <f>IF(X340="","",'Paramètres'!$C$9+SUM($X$6:X340))</f>
        <v/>
      </c>
      <c r="AG340" s="112">
        <f>IF(AF340="","",MAX('Paramètres'!$C$9,MAX($AF$6:AF340)))</f>
        <v/>
      </c>
      <c r="AH340" s="116">
        <f>IF(AF340="","",AF340/AG340-1)</f>
        <v/>
      </c>
      <c r="AI340" s="109">
        <f>IF(X340="","",IF(X340&gt;0,IF(N(AI339)&gt;0,N(AI339)+1,1),IF(X340&lt;0,IF(N(AI339)&lt;0,N(AI339)-1,-1),0)))</f>
        <v/>
      </c>
      <c r="AJ340" s="116">
        <f>IF(Z340="","",IFERROR(Z340/('Paramètres'!$C$9+SUM($X$5:X339)),""))</f>
        <v/>
      </c>
      <c r="AK340" s="109">
        <f>IF(AC340="Ouvert",COUNTIF($AC$6:AC340,"Ouvert"),"")</f>
        <v/>
      </c>
    </row>
    <row r="341" ht="19" customHeight="1">
      <c r="A341" s="104">
        <f>IF(B341="","",ROW()-5)</f>
        <v/>
      </c>
      <c r="B341" s="61" t="n"/>
      <c r="C341" s="61" t="n"/>
      <c r="D341" s="105" t="n"/>
      <c r="E341" s="49" t="n"/>
      <c r="F341" s="105" t="n"/>
      <c r="G341" s="49" t="n"/>
      <c r="H341" s="106" t="n"/>
      <c r="I341" s="107" t="n"/>
      <c r="J341" s="107" t="n"/>
      <c r="K341" s="107" t="n"/>
      <c r="L341" s="107" t="n"/>
      <c r="M341" s="106" t="n"/>
      <c r="N341" s="62" t="n"/>
      <c r="O341" s="49" t="n"/>
      <c r="P341" s="49" t="n"/>
      <c r="Q341" s="105" t="n"/>
      <c r="R341" s="105" t="n"/>
      <c r="S341" s="105" t="n"/>
      <c r="T341" s="105" t="n"/>
      <c r="U341" s="108">
        <f>IF(OR(H341="",I341="",I341=0),"",H341/I341)</f>
        <v/>
      </c>
      <c r="V341" s="109">
        <f>IF(OR(B341="",C341="",L341=""),"",MAX(0,C341-B341))</f>
        <v/>
      </c>
      <c r="W341" s="110">
        <f>IF(OR(L341="",U341=""),"",IF(E341="Short",(I341-L341)*U341,(L341-I341)*U341))</f>
        <v/>
      </c>
      <c r="X341" s="110">
        <f>IF(W341="","",W341-IF(M341="",0,M341))</f>
        <v/>
      </c>
      <c r="Y341" s="111">
        <f>IF(OR(X341="",H341="",H341=0),"",X341/H341)</f>
        <v/>
      </c>
      <c r="Z341" s="112">
        <f>IF(OR(I341="",J341="",U341=""),"",ABS(I341-J341)*U341)</f>
        <v/>
      </c>
      <c r="AA341" s="113">
        <f>IF(OR(X341="",Z341="",Z341=0),"",X341/Z341)</f>
        <v/>
      </c>
      <c r="AB341" s="114">
        <f>IF(OR(I341="",J341="",K341="",I341=J341),"",ABS(K341-I341)/ABS(I341-J341))</f>
        <v/>
      </c>
      <c r="AC341" s="51">
        <f>IF(OR(B341="",D341="",H341="",I341=""),"",IF(L341="","Ouvert",IF(X341&gt;0,"Gagné",IF(X341&lt;0,"Perdu","Neutre"))))</f>
        <v/>
      </c>
      <c r="AD341" s="115">
        <f>IF(X341="","",IF(C341="",B341,C341))</f>
        <v/>
      </c>
      <c r="AE341" s="109">
        <f>IF(B341="","",WEEKDAY(B341,2))</f>
        <v/>
      </c>
      <c r="AF341" s="112">
        <f>IF(X341="","",'Paramètres'!$C$9+SUM($X$6:X341))</f>
        <v/>
      </c>
      <c r="AG341" s="112">
        <f>IF(AF341="","",MAX('Paramètres'!$C$9,MAX($AF$6:AF341)))</f>
        <v/>
      </c>
      <c r="AH341" s="116">
        <f>IF(AF341="","",AF341/AG341-1)</f>
        <v/>
      </c>
      <c r="AI341" s="109">
        <f>IF(X341="","",IF(X341&gt;0,IF(N(AI340)&gt;0,N(AI340)+1,1),IF(X341&lt;0,IF(N(AI340)&lt;0,N(AI340)-1,-1),0)))</f>
        <v/>
      </c>
      <c r="AJ341" s="116">
        <f>IF(Z341="","",IFERROR(Z341/('Paramètres'!$C$9+SUM($X$5:X340)),""))</f>
        <v/>
      </c>
      <c r="AK341" s="109">
        <f>IF(AC341="Ouvert",COUNTIF($AC$6:AC341,"Ouvert"),"")</f>
        <v/>
      </c>
    </row>
    <row r="342" ht="19" customHeight="1">
      <c r="A342" s="104">
        <f>IF(B342="","",ROW()-5)</f>
        <v/>
      </c>
      <c r="B342" s="61" t="n"/>
      <c r="C342" s="61" t="n"/>
      <c r="D342" s="105" t="n"/>
      <c r="E342" s="49" t="n"/>
      <c r="F342" s="105" t="n"/>
      <c r="G342" s="49" t="n"/>
      <c r="H342" s="106" t="n"/>
      <c r="I342" s="107" t="n"/>
      <c r="J342" s="107" t="n"/>
      <c r="K342" s="107" t="n"/>
      <c r="L342" s="107" t="n"/>
      <c r="M342" s="106" t="n"/>
      <c r="N342" s="62" t="n"/>
      <c r="O342" s="49" t="n"/>
      <c r="P342" s="49" t="n"/>
      <c r="Q342" s="105" t="n"/>
      <c r="R342" s="105" t="n"/>
      <c r="S342" s="105" t="n"/>
      <c r="T342" s="105" t="n"/>
      <c r="U342" s="108">
        <f>IF(OR(H342="",I342="",I342=0),"",H342/I342)</f>
        <v/>
      </c>
      <c r="V342" s="109">
        <f>IF(OR(B342="",C342="",L342=""),"",MAX(0,C342-B342))</f>
        <v/>
      </c>
      <c r="W342" s="110">
        <f>IF(OR(L342="",U342=""),"",IF(E342="Short",(I342-L342)*U342,(L342-I342)*U342))</f>
        <v/>
      </c>
      <c r="X342" s="110">
        <f>IF(W342="","",W342-IF(M342="",0,M342))</f>
        <v/>
      </c>
      <c r="Y342" s="111">
        <f>IF(OR(X342="",H342="",H342=0),"",X342/H342)</f>
        <v/>
      </c>
      <c r="Z342" s="112">
        <f>IF(OR(I342="",J342="",U342=""),"",ABS(I342-J342)*U342)</f>
        <v/>
      </c>
      <c r="AA342" s="113">
        <f>IF(OR(X342="",Z342="",Z342=0),"",X342/Z342)</f>
        <v/>
      </c>
      <c r="AB342" s="114">
        <f>IF(OR(I342="",J342="",K342="",I342=J342),"",ABS(K342-I342)/ABS(I342-J342))</f>
        <v/>
      </c>
      <c r="AC342" s="51">
        <f>IF(OR(B342="",D342="",H342="",I342=""),"",IF(L342="","Ouvert",IF(X342&gt;0,"Gagné",IF(X342&lt;0,"Perdu","Neutre"))))</f>
        <v/>
      </c>
      <c r="AD342" s="115">
        <f>IF(X342="","",IF(C342="",B342,C342))</f>
        <v/>
      </c>
      <c r="AE342" s="109">
        <f>IF(B342="","",WEEKDAY(B342,2))</f>
        <v/>
      </c>
      <c r="AF342" s="112">
        <f>IF(X342="","",'Paramètres'!$C$9+SUM($X$6:X342))</f>
        <v/>
      </c>
      <c r="AG342" s="112">
        <f>IF(AF342="","",MAX('Paramètres'!$C$9,MAX($AF$6:AF342)))</f>
        <v/>
      </c>
      <c r="AH342" s="116">
        <f>IF(AF342="","",AF342/AG342-1)</f>
        <v/>
      </c>
      <c r="AI342" s="109">
        <f>IF(X342="","",IF(X342&gt;0,IF(N(AI341)&gt;0,N(AI341)+1,1),IF(X342&lt;0,IF(N(AI341)&lt;0,N(AI341)-1,-1),0)))</f>
        <v/>
      </c>
      <c r="AJ342" s="116">
        <f>IF(Z342="","",IFERROR(Z342/('Paramètres'!$C$9+SUM($X$5:X341)),""))</f>
        <v/>
      </c>
      <c r="AK342" s="109">
        <f>IF(AC342="Ouvert",COUNTIF($AC$6:AC342,"Ouvert"),"")</f>
        <v/>
      </c>
    </row>
    <row r="343" ht="19" customHeight="1">
      <c r="A343" s="104">
        <f>IF(B343="","",ROW()-5)</f>
        <v/>
      </c>
      <c r="B343" s="61" t="n"/>
      <c r="C343" s="61" t="n"/>
      <c r="D343" s="105" t="n"/>
      <c r="E343" s="49" t="n"/>
      <c r="F343" s="105" t="n"/>
      <c r="G343" s="49" t="n"/>
      <c r="H343" s="106" t="n"/>
      <c r="I343" s="107" t="n"/>
      <c r="J343" s="107" t="n"/>
      <c r="K343" s="107" t="n"/>
      <c r="L343" s="107" t="n"/>
      <c r="M343" s="106" t="n"/>
      <c r="N343" s="62" t="n"/>
      <c r="O343" s="49" t="n"/>
      <c r="P343" s="49" t="n"/>
      <c r="Q343" s="105" t="n"/>
      <c r="R343" s="105" t="n"/>
      <c r="S343" s="105" t="n"/>
      <c r="T343" s="105" t="n"/>
      <c r="U343" s="108">
        <f>IF(OR(H343="",I343="",I343=0),"",H343/I343)</f>
        <v/>
      </c>
      <c r="V343" s="109">
        <f>IF(OR(B343="",C343="",L343=""),"",MAX(0,C343-B343))</f>
        <v/>
      </c>
      <c r="W343" s="110">
        <f>IF(OR(L343="",U343=""),"",IF(E343="Short",(I343-L343)*U343,(L343-I343)*U343))</f>
        <v/>
      </c>
      <c r="X343" s="110">
        <f>IF(W343="","",W343-IF(M343="",0,M343))</f>
        <v/>
      </c>
      <c r="Y343" s="111">
        <f>IF(OR(X343="",H343="",H343=0),"",X343/H343)</f>
        <v/>
      </c>
      <c r="Z343" s="112">
        <f>IF(OR(I343="",J343="",U343=""),"",ABS(I343-J343)*U343)</f>
        <v/>
      </c>
      <c r="AA343" s="113">
        <f>IF(OR(X343="",Z343="",Z343=0),"",X343/Z343)</f>
        <v/>
      </c>
      <c r="AB343" s="114">
        <f>IF(OR(I343="",J343="",K343="",I343=J343),"",ABS(K343-I343)/ABS(I343-J343))</f>
        <v/>
      </c>
      <c r="AC343" s="51">
        <f>IF(OR(B343="",D343="",H343="",I343=""),"",IF(L343="","Ouvert",IF(X343&gt;0,"Gagné",IF(X343&lt;0,"Perdu","Neutre"))))</f>
        <v/>
      </c>
      <c r="AD343" s="115">
        <f>IF(X343="","",IF(C343="",B343,C343))</f>
        <v/>
      </c>
      <c r="AE343" s="109">
        <f>IF(B343="","",WEEKDAY(B343,2))</f>
        <v/>
      </c>
      <c r="AF343" s="112">
        <f>IF(X343="","",'Paramètres'!$C$9+SUM($X$6:X343))</f>
        <v/>
      </c>
      <c r="AG343" s="112">
        <f>IF(AF343="","",MAX('Paramètres'!$C$9,MAX($AF$6:AF343)))</f>
        <v/>
      </c>
      <c r="AH343" s="116">
        <f>IF(AF343="","",AF343/AG343-1)</f>
        <v/>
      </c>
      <c r="AI343" s="109">
        <f>IF(X343="","",IF(X343&gt;0,IF(N(AI342)&gt;0,N(AI342)+1,1),IF(X343&lt;0,IF(N(AI342)&lt;0,N(AI342)-1,-1),0)))</f>
        <v/>
      </c>
      <c r="AJ343" s="116">
        <f>IF(Z343="","",IFERROR(Z343/('Paramètres'!$C$9+SUM($X$5:X342)),""))</f>
        <v/>
      </c>
      <c r="AK343" s="109">
        <f>IF(AC343="Ouvert",COUNTIF($AC$6:AC343,"Ouvert"),"")</f>
        <v/>
      </c>
    </row>
    <row r="344" ht="19" customHeight="1">
      <c r="A344" s="104">
        <f>IF(B344="","",ROW()-5)</f>
        <v/>
      </c>
      <c r="B344" s="61" t="n"/>
      <c r="C344" s="61" t="n"/>
      <c r="D344" s="105" t="n"/>
      <c r="E344" s="49" t="n"/>
      <c r="F344" s="105" t="n"/>
      <c r="G344" s="49" t="n"/>
      <c r="H344" s="106" t="n"/>
      <c r="I344" s="107" t="n"/>
      <c r="J344" s="107" t="n"/>
      <c r="K344" s="107" t="n"/>
      <c r="L344" s="107" t="n"/>
      <c r="M344" s="106" t="n"/>
      <c r="N344" s="62" t="n"/>
      <c r="O344" s="49" t="n"/>
      <c r="P344" s="49" t="n"/>
      <c r="Q344" s="105" t="n"/>
      <c r="R344" s="105" t="n"/>
      <c r="S344" s="105" t="n"/>
      <c r="T344" s="105" t="n"/>
      <c r="U344" s="108">
        <f>IF(OR(H344="",I344="",I344=0),"",H344/I344)</f>
        <v/>
      </c>
      <c r="V344" s="109">
        <f>IF(OR(B344="",C344="",L344=""),"",MAX(0,C344-B344))</f>
        <v/>
      </c>
      <c r="W344" s="110">
        <f>IF(OR(L344="",U344=""),"",IF(E344="Short",(I344-L344)*U344,(L344-I344)*U344))</f>
        <v/>
      </c>
      <c r="X344" s="110">
        <f>IF(W344="","",W344-IF(M344="",0,M344))</f>
        <v/>
      </c>
      <c r="Y344" s="111">
        <f>IF(OR(X344="",H344="",H344=0),"",X344/H344)</f>
        <v/>
      </c>
      <c r="Z344" s="112">
        <f>IF(OR(I344="",J344="",U344=""),"",ABS(I344-J344)*U344)</f>
        <v/>
      </c>
      <c r="AA344" s="113">
        <f>IF(OR(X344="",Z344="",Z344=0),"",X344/Z344)</f>
        <v/>
      </c>
      <c r="AB344" s="114">
        <f>IF(OR(I344="",J344="",K344="",I344=J344),"",ABS(K344-I344)/ABS(I344-J344))</f>
        <v/>
      </c>
      <c r="AC344" s="51">
        <f>IF(OR(B344="",D344="",H344="",I344=""),"",IF(L344="","Ouvert",IF(X344&gt;0,"Gagné",IF(X344&lt;0,"Perdu","Neutre"))))</f>
        <v/>
      </c>
      <c r="AD344" s="115">
        <f>IF(X344="","",IF(C344="",B344,C344))</f>
        <v/>
      </c>
      <c r="AE344" s="109">
        <f>IF(B344="","",WEEKDAY(B344,2))</f>
        <v/>
      </c>
      <c r="AF344" s="112">
        <f>IF(X344="","",'Paramètres'!$C$9+SUM($X$6:X344))</f>
        <v/>
      </c>
      <c r="AG344" s="112">
        <f>IF(AF344="","",MAX('Paramètres'!$C$9,MAX($AF$6:AF344)))</f>
        <v/>
      </c>
      <c r="AH344" s="116">
        <f>IF(AF344="","",AF344/AG344-1)</f>
        <v/>
      </c>
      <c r="AI344" s="109">
        <f>IF(X344="","",IF(X344&gt;0,IF(N(AI343)&gt;0,N(AI343)+1,1),IF(X344&lt;0,IF(N(AI343)&lt;0,N(AI343)-1,-1),0)))</f>
        <v/>
      </c>
      <c r="AJ344" s="116">
        <f>IF(Z344="","",IFERROR(Z344/('Paramètres'!$C$9+SUM($X$5:X343)),""))</f>
        <v/>
      </c>
      <c r="AK344" s="109">
        <f>IF(AC344="Ouvert",COUNTIF($AC$6:AC344,"Ouvert"),"")</f>
        <v/>
      </c>
    </row>
    <row r="345" ht="19" customHeight="1">
      <c r="A345" s="104">
        <f>IF(B345="","",ROW()-5)</f>
        <v/>
      </c>
      <c r="B345" s="61" t="n"/>
      <c r="C345" s="61" t="n"/>
      <c r="D345" s="105" t="n"/>
      <c r="E345" s="49" t="n"/>
      <c r="F345" s="105" t="n"/>
      <c r="G345" s="49" t="n"/>
      <c r="H345" s="106" t="n"/>
      <c r="I345" s="107" t="n"/>
      <c r="J345" s="107" t="n"/>
      <c r="K345" s="107" t="n"/>
      <c r="L345" s="107" t="n"/>
      <c r="M345" s="106" t="n"/>
      <c r="N345" s="62" t="n"/>
      <c r="O345" s="49" t="n"/>
      <c r="P345" s="49" t="n"/>
      <c r="Q345" s="105" t="n"/>
      <c r="R345" s="105" t="n"/>
      <c r="S345" s="105" t="n"/>
      <c r="T345" s="105" t="n"/>
      <c r="U345" s="108">
        <f>IF(OR(H345="",I345="",I345=0),"",H345/I345)</f>
        <v/>
      </c>
      <c r="V345" s="109">
        <f>IF(OR(B345="",C345="",L345=""),"",MAX(0,C345-B345))</f>
        <v/>
      </c>
      <c r="W345" s="110">
        <f>IF(OR(L345="",U345=""),"",IF(E345="Short",(I345-L345)*U345,(L345-I345)*U345))</f>
        <v/>
      </c>
      <c r="X345" s="110">
        <f>IF(W345="","",W345-IF(M345="",0,M345))</f>
        <v/>
      </c>
      <c r="Y345" s="111">
        <f>IF(OR(X345="",H345="",H345=0),"",X345/H345)</f>
        <v/>
      </c>
      <c r="Z345" s="112">
        <f>IF(OR(I345="",J345="",U345=""),"",ABS(I345-J345)*U345)</f>
        <v/>
      </c>
      <c r="AA345" s="113">
        <f>IF(OR(X345="",Z345="",Z345=0),"",X345/Z345)</f>
        <v/>
      </c>
      <c r="AB345" s="114">
        <f>IF(OR(I345="",J345="",K345="",I345=J345),"",ABS(K345-I345)/ABS(I345-J345))</f>
        <v/>
      </c>
      <c r="AC345" s="51">
        <f>IF(OR(B345="",D345="",H345="",I345=""),"",IF(L345="","Ouvert",IF(X345&gt;0,"Gagné",IF(X345&lt;0,"Perdu","Neutre"))))</f>
        <v/>
      </c>
      <c r="AD345" s="115">
        <f>IF(X345="","",IF(C345="",B345,C345))</f>
        <v/>
      </c>
      <c r="AE345" s="109">
        <f>IF(B345="","",WEEKDAY(B345,2))</f>
        <v/>
      </c>
      <c r="AF345" s="112">
        <f>IF(X345="","",'Paramètres'!$C$9+SUM($X$6:X345))</f>
        <v/>
      </c>
      <c r="AG345" s="112">
        <f>IF(AF345="","",MAX('Paramètres'!$C$9,MAX($AF$6:AF345)))</f>
        <v/>
      </c>
      <c r="AH345" s="116">
        <f>IF(AF345="","",AF345/AG345-1)</f>
        <v/>
      </c>
      <c r="AI345" s="109">
        <f>IF(X345="","",IF(X345&gt;0,IF(N(AI344)&gt;0,N(AI344)+1,1),IF(X345&lt;0,IF(N(AI344)&lt;0,N(AI344)-1,-1),0)))</f>
        <v/>
      </c>
      <c r="AJ345" s="116">
        <f>IF(Z345="","",IFERROR(Z345/('Paramètres'!$C$9+SUM($X$5:X344)),""))</f>
        <v/>
      </c>
      <c r="AK345" s="109">
        <f>IF(AC345="Ouvert",COUNTIF($AC$6:AC345,"Ouvert"),"")</f>
        <v/>
      </c>
    </row>
    <row r="346" ht="19" customHeight="1">
      <c r="A346" s="104">
        <f>IF(B346="","",ROW()-5)</f>
        <v/>
      </c>
      <c r="B346" s="61" t="n"/>
      <c r="C346" s="61" t="n"/>
      <c r="D346" s="105" t="n"/>
      <c r="E346" s="49" t="n"/>
      <c r="F346" s="105" t="n"/>
      <c r="G346" s="49" t="n"/>
      <c r="H346" s="106" t="n"/>
      <c r="I346" s="107" t="n"/>
      <c r="J346" s="107" t="n"/>
      <c r="K346" s="107" t="n"/>
      <c r="L346" s="107" t="n"/>
      <c r="M346" s="106" t="n"/>
      <c r="N346" s="62" t="n"/>
      <c r="O346" s="49" t="n"/>
      <c r="P346" s="49" t="n"/>
      <c r="Q346" s="105" t="n"/>
      <c r="R346" s="105" t="n"/>
      <c r="S346" s="105" t="n"/>
      <c r="T346" s="105" t="n"/>
      <c r="U346" s="108">
        <f>IF(OR(H346="",I346="",I346=0),"",H346/I346)</f>
        <v/>
      </c>
      <c r="V346" s="109">
        <f>IF(OR(B346="",C346="",L346=""),"",MAX(0,C346-B346))</f>
        <v/>
      </c>
      <c r="W346" s="110">
        <f>IF(OR(L346="",U346=""),"",IF(E346="Short",(I346-L346)*U346,(L346-I346)*U346))</f>
        <v/>
      </c>
      <c r="X346" s="110">
        <f>IF(W346="","",W346-IF(M346="",0,M346))</f>
        <v/>
      </c>
      <c r="Y346" s="111">
        <f>IF(OR(X346="",H346="",H346=0),"",X346/H346)</f>
        <v/>
      </c>
      <c r="Z346" s="112">
        <f>IF(OR(I346="",J346="",U346=""),"",ABS(I346-J346)*U346)</f>
        <v/>
      </c>
      <c r="AA346" s="113">
        <f>IF(OR(X346="",Z346="",Z346=0),"",X346/Z346)</f>
        <v/>
      </c>
      <c r="AB346" s="114">
        <f>IF(OR(I346="",J346="",K346="",I346=J346),"",ABS(K346-I346)/ABS(I346-J346))</f>
        <v/>
      </c>
      <c r="AC346" s="51">
        <f>IF(OR(B346="",D346="",H346="",I346=""),"",IF(L346="","Ouvert",IF(X346&gt;0,"Gagné",IF(X346&lt;0,"Perdu","Neutre"))))</f>
        <v/>
      </c>
      <c r="AD346" s="115">
        <f>IF(X346="","",IF(C346="",B346,C346))</f>
        <v/>
      </c>
      <c r="AE346" s="109">
        <f>IF(B346="","",WEEKDAY(B346,2))</f>
        <v/>
      </c>
      <c r="AF346" s="112">
        <f>IF(X346="","",'Paramètres'!$C$9+SUM($X$6:X346))</f>
        <v/>
      </c>
      <c r="AG346" s="112">
        <f>IF(AF346="","",MAX('Paramètres'!$C$9,MAX($AF$6:AF346)))</f>
        <v/>
      </c>
      <c r="AH346" s="116">
        <f>IF(AF346="","",AF346/AG346-1)</f>
        <v/>
      </c>
      <c r="AI346" s="109">
        <f>IF(X346="","",IF(X346&gt;0,IF(N(AI345)&gt;0,N(AI345)+1,1),IF(X346&lt;0,IF(N(AI345)&lt;0,N(AI345)-1,-1),0)))</f>
        <v/>
      </c>
      <c r="AJ346" s="116">
        <f>IF(Z346="","",IFERROR(Z346/('Paramètres'!$C$9+SUM($X$5:X345)),""))</f>
        <v/>
      </c>
      <c r="AK346" s="109">
        <f>IF(AC346="Ouvert",COUNTIF($AC$6:AC346,"Ouvert"),"")</f>
        <v/>
      </c>
    </row>
    <row r="347" ht="19" customHeight="1">
      <c r="A347" s="104">
        <f>IF(B347="","",ROW()-5)</f>
        <v/>
      </c>
      <c r="B347" s="61" t="n"/>
      <c r="C347" s="61" t="n"/>
      <c r="D347" s="105" t="n"/>
      <c r="E347" s="49" t="n"/>
      <c r="F347" s="105" t="n"/>
      <c r="G347" s="49" t="n"/>
      <c r="H347" s="106" t="n"/>
      <c r="I347" s="107" t="n"/>
      <c r="J347" s="107" t="n"/>
      <c r="K347" s="107" t="n"/>
      <c r="L347" s="107" t="n"/>
      <c r="M347" s="106" t="n"/>
      <c r="N347" s="62" t="n"/>
      <c r="O347" s="49" t="n"/>
      <c r="P347" s="49" t="n"/>
      <c r="Q347" s="105" t="n"/>
      <c r="R347" s="105" t="n"/>
      <c r="S347" s="105" t="n"/>
      <c r="T347" s="105" t="n"/>
      <c r="U347" s="108">
        <f>IF(OR(H347="",I347="",I347=0),"",H347/I347)</f>
        <v/>
      </c>
      <c r="V347" s="109">
        <f>IF(OR(B347="",C347="",L347=""),"",MAX(0,C347-B347))</f>
        <v/>
      </c>
      <c r="W347" s="110">
        <f>IF(OR(L347="",U347=""),"",IF(E347="Short",(I347-L347)*U347,(L347-I347)*U347))</f>
        <v/>
      </c>
      <c r="X347" s="110">
        <f>IF(W347="","",W347-IF(M347="",0,M347))</f>
        <v/>
      </c>
      <c r="Y347" s="111">
        <f>IF(OR(X347="",H347="",H347=0),"",X347/H347)</f>
        <v/>
      </c>
      <c r="Z347" s="112">
        <f>IF(OR(I347="",J347="",U347=""),"",ABS(I347-J347)*U347)</f>
        <v/>
      </c>
      <c r="AA347" s="113">
        <f>IF(OR(X347="",Z347="",Z347=0),"",X347/Z347)</f>
        <v/>
      </c>
      <c r="AB347" s="114">
        <f>IF(OR(I347="",J347="",K347="",I347=J347),"",ABS(K347-I347)/ABS(I347-J347))</f>
        <v/>
      </c>
      <c r="AC347" s="51">
        <f>IF(OR(B347="",D347="",H347="",I347=""),"",IF(L347="","Ouvert",IF(X347&gt;0,"Gagné",IF(X347&lt;0,"Perdu","Neutre"))))</f>
        <v/>
      </c>
      <c r="AD347" s="115">
        <f>IF(X347="","",IF(C347="",B347,C347))</f>
        <v/>
      </c>
      <c r="AE347" s="109">
        <f>IF(B347="","",WEEKDAY(B347,2))</f>
        <v/>
      </c>
      <c r="AF347" s="112">
        <f>IF(X347="","",'Paramètres'!$C$9+SUM($X$6:X347))</f>
        <v/>
      </c>
      <c r="AG347" s="112">
        <f>IF(AF347="","",MAX('Paramètres'!$C$9,MAX($AF$6:AF347)))</f>
        <v/>
      </c>
      <c r="AH347" s="116">
        <f>IF(AF347="","",AF347/AG347-1)</f>
        <v/>
      </c>
      <c r="AI347" s="109">
        <f>IF(X347="","",IF(X347&gt;0,IF(N(AI346)&gt;0,N(AI346)+1,1),IF(X347&lt;0,IF(N(AI346)&lt;0,N(AI346)-1,-1),0)))</f>
        <v/>
      </c>
      <c r="AJ347" s="116">
        <f>IF(Z347="","",IFERROR(Z347/('Paramètres'!$C$9+SUM($X$5:X346)),""))</f>
        <v/>
      </c>
      <c r="AK347" s="109">
        <f>IF(AC347="Ouvert",COUNTIF($AC$6:AC347,"Ouvert"),"")</f>
        <v/>
      </c>
    </row>
    <row r="348" ht="19" customHeight="1">
      <c r="A348" s="104">
        <f>IF(B348="","",ROW()-5)</f>
        <v/>
      </c>
      <c r="B348" s="61" t="n"/>
      <c r="C348" s="61" t="n"/>
      <c r="D348" s="105" t="n"/>
      <c r="E348" s="49" t="n"/>
      <c r="F348" s="105" t="n"/>
      <c r="G348" s="49" t="n"/>
      <c r="H348" s="106" t="n"/>
      <c r="I348" s="107" t="n"/>
      <c r="J348" s="107" t="n"/>
      <c r="K348" s="107" t="n"/>
      <c r="L348" s="107" t="n"/>
      <c r="M348" s="106" t="n"/>
      <c r="N348" s="62" t="n"/>
      <c r="O348" s="49" t="n"/>
      <c r="P348" s="49" t="n"/>
      <c r="Q348" s="105" t="n"/>
      <c r="R348" s="105" t="n"/>
      <c r="S348" s="105" t="n"/>
      <c r="T348" s="105" t="n"/>
      <c r="U348" s="108">
        <f>IF(OR(H348="",I348="",I348=0),"",H348/I348)</f>
        <v/>
      </c>
      <c r="V348" s="109">
        <f>IF(OR(B348="",C348="",L348=""),"",MAX(0,C348-B348))</f>
        <v/>
      </c>
      <c r="W348" s="110">
        <f>IF(OR(L348="",U348=""),"",IF(E348="Short",(I348-L348)*U348,(L348-I348)*U348))</f>
        <v/>
      </c>
      <c r="X348" s="110">
        <f>IF(W348="","",W348-IF(M348="",0,M348))</f>
        <v/>
      </c>
      <c r="Y348" s="111">
        <f>IF(OR(X348="",H348="",H348=0),"",X348/H348)</f>
        <v/>
      </c>
      <c r="Z348" s="112">
        <f>IF(OR(I348="",J348="",U348=""),"",ABS(I348-J348)*U348)</f>
        <v/>
      </c>
      <c r="AA348" s="113">
        <f>IF(OR(X348="",Z348="",Z348=0),"",X348/Z348)</f>
        <v/>
      </c>
      <c r="AB348" s="114">
        <f>IF(OR(I348="",J348="",K348="",I348=J348),"",ABS(K348-I348)/ABS(I348-J348))</f>
        <v/>
      </c>
      <c r="AC348" s="51">
        <f>IF(OR(B348="",D348="",H348="",I348=""),"",IF(L348="","Ouvert",IF(X348&gt;0,"Gagné",IF(X348&lt;0,"Perdu","Neutre"))))</f>
        <v/>
      </c>
      <c r="AD348" s="115">
        <f>IF(X348="","",IF(C348="",B348,C348))</f>
        <v/>
      </c>
      <c r="AE348" s="109">
        <f>IF(B348="","",WEEKDAY(B348,2))</f>
        <v/>
      </c>
      <c r="AF348" s="112">
        <f>IF(X348="","",'Paramètres'!$C$9+SUM($X$6:X348))</f>
        <v/>
      </c>
      <c r="AG348" s="112">
        <f>IF(AF348="","",MAX('Paramètres'!$C$9,MAX($AF$6:AF348)))</f>
        <v/>
      </c>
      <c r="AH348" s="116">
        <f>IF(AF348="","",AF348/AG348-1)</f>
        <v/>
      </c>
      <c r="AI348" s="109">
        <f>IF(X348="","",IF(X348&gt;0,IF(N(AI347)&gt;0,N(AI347)+1,1),IF(X348&lt;0,IF(N(AI347)&lt;0,N(AI347)-1,-1),0)))</f>
        <v/>
      </c>
      <c r="AJ348" s="116">
        <f>IF(Z348="","",IFERROR(Z348/('Paramètres'!$C$9+SUM($X$5:X347)),""))</f>
        <v/>
      </c>
      <c r="AK348" s="109">
        <f>IF(AC348="Ouvert",COUNTIF($AC$6:AC348,"Ouvert"),"")</f>
        <v/>
      </c>
    </row>
    <row r="349" ht="19" customHeight="1">
      <c r="A349" s="104">
        <f>IF(B349="","",ROW()-5)</f>
        <v/>
      </c>
      <c r="B349" s="61" t="n"/>
      <c r="C349" s="61" t="n"/>
      <c r="D349" s="105" t="n"/>
      <c r="E349" s="49" t="n"/>
      <c r="F349" s="105" t="n"/>
      <c r="G349" s="49" t="n"/>
      <c r="H349" s="106" t="n"/>
      <c r="I349" s="107" t="n"/>
      <c r="J349" s="107" t="n"/>
      <c r="K349" s="107" t="n"/>
      <c r="L349" s="107" t="n"/>
      <c r="M349" s="106" t="n"/>
      <c r="N349" s="62" t="n"/>
      <c r="O349" s="49" t="n"/>
      <c r="P349" s="49" t="n"/>
      <c r="Q349" s="105" t="n"/>
      <c r="R349" s="105" t="n"/>
      <c r="S349" s="105" t="n"/>
      <c r="T349" s="105" t="n"/>
      <c r="U349" s="108">
        <f>IF(OR(H349="",I349="",I349=0),"",H349/I349)</f>
        <v/>
      </c>
      <c r="V349" s="109">
        <f>IF(OR(B349="",C349="",L349=""),"",MAX(0,C349-B349))</f>
        <v/>
      </c>
      <c r="W349" s="110">
        <f>IF(OR(L349="",U349=""),"",IF(E349="Short",(I349-L349)*U349,(L349-I349)*U349))</f>
        <v/>
      </c>
      <c r="X349" s="110">
        <f>IF(W349="","",W349-IF(M349="",0,M349))</f>
        <v/>
      </c>
      <c r="Y349" s="111">
        <f>IF(OR(X349="",H349="",H349=0),"",X349/H349)</f>
        <v/>
      </c>
      <c r="Z349" s="112">
        <f>IF(OR(I349="",J349="",U349=""),"",ABS(I349-J349)*U349)</f>
        <v/>
      </c>
      <c r="AA349" s="113">
        <f>IF(OR(X349="",Z349="",Z349=0),"",X349/Z349)</f>
        <v/>
      </c>
      <c r="AB349" s="114">
        <f>IF(OR(I349="",J349="",K349="",I349=J349),"",ABS(K349-I349)/ABS(I349-J349))</f>
        <v/>
      </c>
      <c r="AC349" s="51">
        <f>IF(OR(B349="",D349="",H349="",I349=""),"",IF(L349="","Ouvert",IF(X349&gt;0,"Gagné",IF(X349&lt;0,"Perdu","Neutre"))))</f>
        <v/>
      </c>
      <c r="AD349" s="115">
        <f>IF(X349="","",IF(C349="",B349,C349))</f>
        <v/>
      </c>
      <c r="AE349" s="109">
        <f>IF(B349="","",WEEKDAY(B349,2))</f>
        <v/>
      </c>
      <c r="AF349" s="112">
        <f>IF(X349="","",'Paramètres'!$C$9+SUM($X$6:X349))</f>
        <v/>
      </c>
      <c r="AG349" s="112">
        <f>IF(AF349="","",MAX('Paramètres'!$C$9,MAX($AF$6:AF349)))</f>
        <v/>
      </c>
      <c r="AH349" s="116">
        <f>IF(AF349="","",AF349/AG349-1)</f>
        <v/>
      </c>
      <c r="AI349" s="109">
        <f>IF(X349="","",IF(X349&gt;0,IF(N(AI348)&gt;0,N(AI348)+1,1),IF(X349&lt;0,IF(N(AI348)&lt;0,N(AI348)-1,-1),0)))</f>
        <v/>
      </c>
      <c r="AJ349" s="116">
        <f>IF(Z349="","",IFERROR(Z349/('Paramètres'!$C$9+SUM($X$5:X348)),""))</f>
        <v/>
      </c>
      <c r="AK349" s="109">
        <f>IF(AC349="Ouvert",COUNTIF($AC$6:AC349,"Ouvert"),"")</f>
        <v/>
      </c>
    </row>
    <row r="350" ht="19" customHeight="1">
      <c r="A350" s="104">
        <f>IF(B350="","",ROW()-5)</f>
        <v/>
      </c>
      <c r="B350" s="61" t="n"/>
      <c r="C350" s="61" t="n"/>
      <c r="D350" s="105" t="n"/>
      <c r="E350" s="49" t="n"/>
      <c r="F350" s="105" t="n"/>
      <c r="G350" s="49" t="n"/>
      <c r="H350" s="106" t="n"/>
      <c r="I350" s="107" t="n"/>
      <c r="J350" s="107" t="n"/>
      <c r="K350" s="107" t="n"/>
      <c r="L350" s="107" t="n"/>
      <c r="M350" s="106" t="n"/>
      <c r="N350" s="62" t="n"/>
      <c r="O350" s="49" t="n"/>
      <c r="P350" s="49" t="n"/>
      <c r="Q350" s="105" t="n"/>
      <c r="R350" s="105" t="n"/>
      <c r="S350" s="105" t="n"/>
      <c r="T350" s="105" t="n"/>
      <c r="U350" s="108">
        <f>IF(OR(H350="",I350="",I350=0),"",H350/I350)</f>
        <v/>
      </c>
      <c r="V350" s="109">
        <f>IF(OR(B350="",C350="",L350=""),"",MAX(0,C350-B350))</f>
        <v/>
      </c>
      <c r="W350" s="110">
        <f>IF(OR(L350="",U350=""),"",IF(E350="Short",(I350-L350)*U350,(L350-I350)*U350))</f>
        <v/>
      </c>
      <c r="X350" s="110">
        <f>IF(W350="","",W350-IF(M350="",0,M350))</f>
        <v/>
      </c>
      <c r="Y350" s="111">
        <f>IF(OR(X350="",H350="",H350=0),"",X350/H350)</f>
        <v/>
      </c>
      <c r="Z350" s="112">
        <f>IF(OR(I350="",J350="",U350=""),"",ABS(I350-J350)*U350)</f>
        <v/>
      </c>
      <c r="AA350" s="113">
        <f>IF(OR(X350="",Z350="",Z350=0),"",X350/Z350)</f>
        <v/>
      </c>
      <c r="AB350" s="114">
        <f>IF(OR(I350="",J350="",K350="",I350=J350),"",ABS(K350-I350)/ABS(I350-J350))</f>
        <v/>
      </c>
      <c r="AC350" s="51">
        <f>IF(OR(B350="",D350="",H350="",I350=""),"",IF(L350="","Ouvert",IF(X350&gt;0,"Gagné",IF(X350&lt;0,"Perdu","Neutre"))))</f>
        <v/>
      </c>
      <c r="AD350" s="115">
        <f>IF(X350="","",IF(C350="",B350,C350))</f>
        <v/>
      </c>
      <c r="AE350" s="109">
        <f>IF(B350="","",WEEKDAY(B350,2))</f>
        <v/>
      </c>
      <c r="AF350" s="112">
        <f>IF(X350="","",'Paramètres'!$C$9+SUM($X$6:X350))</f>
        <v/>
      </c>
      <c r="AG350" s="112">
        <f>IF(AF350="","",MAX('Paramètres'!$C$9,MAX($AF$6:AF350)))</f>
        <v/>
      </c>
      <c r="AH350" s="116">
        <f>IF(AF350="","",AF350/AG350-1)</f>
        <v/>
      </c>
      <c r="AI350" s="109">
        <f>IF(X350="","",IF(X350&gt;0,IF(N(AI349)&gt;0,N(AI349)+1,1),IF(X350&lt;0,IF(N(AI349)&lt;0,N(AI349)-1,-1),0)))</f>
        <v/>
      </c>
      <c r="AJ350" s="116">
        <f>IF(Z350="","",IFERROR(Z350/('Paramètres'!$C$9+SUM($X$5:X349)),""))</f>
        <v/>
      </c>
      <c r="AK350" s="109">
        <f>IF(AC350="Ouvert",COUNTIF($AC$6:AC350,"Ouvert"),"")</f>
        <v/>
      </c>
    </row>
    <row r="351" ht="19" customHeight="1">
      <c r="A351" s="104">
        <f>IF(B351="","",ROW()-5)</f>
        <v/>
      </c>
      <c r="B351" s="61" t="n"/>
      <c r="C351" s="61" t="n"/>
      <c r="D351" s="105" t="n"/>
      <c r="E351" s="49" t="n"/>
      <c r="F351" s="105" t="n"/>
      <c r="G351" s="49" t="n"/>
      <c r="H351" s="106" t="n"/>
      <c r="I351" s="107" t="n"/>
      <c r="J351" s="107" t="n"/>
      <c r="K351" s="107" t="n"/>
      <c r="L351" s="107" t="n"/>
      <c r="M351" s="106" t="n"/>
      <c r="N351" s="62" t="n"/>
      <c r="O351" s="49" t="n"/>
      <c r="P351" s="49" t="n"/>
      <c r="Q351" s="105" t="n"/>
      <c r="R351" s="105" t="n"/>
      <c r="S351" s="105" t="n"/>
      <c r="T351" s="105" t="n"/>
      <c r="U351" s="108">
        <f>IF(OR(H351="",I351="",I351=0),"",H351/I351)</f>
        <v/>
      </c>
      <c r="V351" s="109">
        <f>IF(OR(B351="",C351="",L351=""),"",MAX(0,C351-B351))</f>
        <v/>
      </c>
      <c r="W351" s="110">
        <f>IF(OR(L351="",U351=""),"",IF(E351="Short",(I351-L351)*U351,(L351-I351)*U351))</f>
        <v/>
      </c>
      <c r="X351" s="110">
        <f>IF(W351="","",W351-IF(M351="",0,M351))</f>
        <v/>
      </c>
      <c r="Y351" s="111">
        <f>IF(OR(X351="",H351="",H351=0),"",X351/H351)</f>
        <v/>
      </c>
      <c r="Z351" s="112">
        <f>IF(OR(I351="",J351="",U351=""),"",ABS(I351-J351)*U351)</f>
        <v/>
      </c>
      <c r="AA351" s="113">
        <f>IF(OR(X351="",Z351="",Z351=0),"",X351/Z351)</f>
        <v/>
      </c>
      <c r="AB351" s="114">
        <f>IF(OR(I351="",J351="",K351="",I351=J351),"",ABS(K351-I351)/ABS(I351-J351))</f>
        <v/>
      </c>
      <c r="AC351" s="51">
        <f>IF(OR(B351="",D351="",H351="",I351=""),"",IF(L351="","Ouvert",IF(X351&gt;0,"Gagné",IF(X351&lt;0,"Perdu","Neutre"))))</f>
        <v/>
      </c>
      <c r="AD351" s="115">
        <f>IF(X351="","",IF(C351="",B351,C351))</f>
        <v/>
      </c>
      <c r="AE351" s="109">
        <f>IF(B351="","",WEEKDAY(B351,2))</f>
        <v/>
      </c>
      <c r="AF351" s="112">
        <f>IF(X351="","",'Paramètres'!$C$9+SUM($X$6:X351))</f>
        <v/>
      </c>
      <c r="AG351" s="112">
        <f>IF(AF351="","",MAX('Paramètres'!$C$9,MAX($AF$6:AF351)))</f>
        <v/>
      </c>
      <c r="AH351" s="116">
        <f>IF(AF351="","",AF351/AG351-1)</f>
        <v/>
      </c>
      <c r="AI351" s="109">
        <f>IF(X351="","",IF(X351&gt;0,IF(N(AI350)&gt;0,N(AI350)+1,1),IF(X351&lt;0,IF(N(AI350)&lt;0,N(AI350)-1,-1),0)))</f>
        <v/>
      </c>
      <c r="AJ351" s="116">
        <f>IF(Z351="","",IFERROR(Z351/('Paramètres'!$C$9+SUM($X$5:X350)),""))</f>
        <v/>
      </c>
      <c r="AK351" s="109">
        <f>IF(AC351="Ouvert",COUNTIF($AC$6:AC351,"Ouvert"),"")</f>
        <v/>
      </c>
    </row>
    <row r="352" ht="19" customHeight="1">
      <c r="A352" s="104">
        <f>IF(B352="","",ROW()-5)</f>
        <v/>
      </c>
      <c r="B352" s="61" t="n"/>
      <c r="C352" s="61" t="n"/>
      <c r="D352" s="105" t="n"/>
      <c r="E352" s="49" t="n"/>
      <c r="F352" s="105" t="n"/>
      <c r="G352" s="49" t="n"/>
      <c r="H352" s="106" t="n"/>
      <c r="I352" s="107" t="n"/>
      <c r="J352" s="107" t="n"/>
      <c r="K352" s="107" t="n"/>
      <c r="L352" s="107" t="n"/>
      <c r="M352" s="106" t="n"/>
      <c r="N352" s="62" t="n"/>
      <c r="O352" s="49" t="n"/>
      <c r="P352" s="49" t="n"/>
      <c r="Q352" s="105" t="n"/>
      <c r="R352" s="105" t="n"/>
      <c r="S352" s="105" t="n"/>
      <c r="T352" s="105" t="n"/>
      <c r="U352" s="108">
        <f>IF(OR(H352="",I352="",I352=0),"",H352/I352)</f>
        <v/>
      </c>
      <c r="V352" s="109">
        <f>IF(OR(B352="",C352="",L352=""),"",MAX(0,C352-B352))</f>
        <v/>
      </c>
      <c r="W352" s="110">
        <f>IF(OR(L352="",U352=""),"",IF(E352="Short",(I352-L352)*U352,(L352-I352)*U352))</f>
        <v/>
      </c>
      <c r="X352" s="110">
        <f>IF(W352="","",W352-IF(M352="",0,M352))</f>
        <v/>
      </c>
      <c r="Y352" s="111">
        <f>IF(OR(X352="",H352="",H352=0),"",X352/H352)</f>
        <v/>
      </c>
      <c r="Z352" s="112">
        <f>IF(OR(I352="",J352="",U352=""),"",ABS(I352-J352)*U352)</f>
        <v/>
      </c>
      <c r="AA352" s="113">
        <f>IF(OR(X352="",Z352="",Z352=0),"",X352/Z352)</f>
        <v/>
      </c>
      <c r="AB352" s="114">
        <f>IF(OR(I352="",J352="",K352="",I352=J352),"",ABS(K352-I352)/ABS(I352-J352))</f>
        <v/>
      </c>
      <c r="AC352" s="51">
        <f>IF(OR(B352="",D352="",H352="",I352=""),"",IF(L352="","Ouvert",IF(X352&gt;0,"Gagné",IF(X352&lt;0,"Perdu","Neutre"))))</f>
        <v/>
      </c>
      <c r="AD352" s="115">
        <f>IF(X352="","",IF(C352="",B352,C352))</f>
        <v/>
      </c>
      <c r="AE352" s="109">
        <f>IF(B352="","",WEEKDAY(B352,2))</f>
        <v/>
      </c>
      <c r="AF352" s="112">
        <f>IF(X352="","",'Paramètres'!$C$9+SUM($X$6:X352))</f>
        <v/>
      </c>
      <c r="AG352" s="112">
        <f>IF(AF352="","",MAX('Paramètres'!$C$9,MAX($AF$6:AF352)))</f>
        <v/>
      </c>
      <c r="AH352" s="116">
        <f>IF(AF352="","",AF352/AG352-1)</f>
        <v/>
      </c>
      <c r="AI352" s="109">
        <f>IF(X352="","",IF(X352&gt;0,IF(N(AI351)&gt;0,N(AI351)+1,1),IF(X352&lt;0,IF(N(AI351)&lt;0,N(AI351)-1,-1),0)))</f>
        <v/>
      </c>
      <c r="AJ352" s="116">
        <f>IF(Z352="","",IFERROR(Z352/('Paramètres'!$C$9+SUM($X$5:X351)),""))</f>
        <v/>
      </c>
      <c r="AK352" s="109">
        <f>IF(AC352="Ouvert",COUNTIF($AC$6:AC352,"Ouvert"),"")</f>
        <v/>
      </c>
    </row>
    <row r="353" ht="19" customHeight="1">
      <c r="A353" s="104">
        <f>IF(B353="","",ROW()-5)</f>
        <v/>
      </c>
      <c r="B353" s="61" t="n"/>
      <c r="C353" s="61" t="n"/>
      <c r="D353" s="105" t="n"/>
      <c r="E353" s="49" t="n"/>
      <c r="F353" s="105" t="n"/>
      <c r="G353" s="49" t="n"/>
      <c r="H353" s="106" t="n"/>
      <c r="I353" s="107" t="n"/>
      <c r="J353" s="107" t="n"/>
      <c r="K353" s="107" t="n"/>
      <c r="L353" s="107" t="n"/>
      <c r="M353" s="106" t="n"/>
      <c r="N353" s="62" t="n"/>
      <c r="O353" s="49" t="n"/>
      <c r="P353" s="49" t="n"/>
      <c r="Q353" s="105" t="n"/>
      <c r="R353" s="105" t="n"/>
      <c r="S353" s="105" t="n"/>
      <c r="T353" s="105" t="n"/>
      <c r="U353" s="108">
        <f>IF(OR(H353="",I353="",I353=0),"",H353/I353)</f>
        <v/>
      </c>
      <c r="V353" s="109">
        <f>IF(OR(B353="",C353="",L353=""),"",MAX(0,C353-B353))</f>
        <v/>
      </c>
      <c r="W353" s="110">
        <f>IF(OR(L353="",U353=""),"",IF(E353="Short",(I353-L353)*U353,(L353-I353)*U353))</f>
        <v/>
      </c>
      <c r="X353" s="110">
        <f>IF(W353="","",W353-IF(M353="",0,M353))</f>
        <v/>
      </c>
      <c r="Y353" s="111">
        <f>IF(OR(X353="",H353="",H353=0),"",X353/H353)</f>
        <v/>
      </c>
      <c r="Z353" s="112">
        <f>IF(OR(I353="",J353="",U353=""),"",ABS(I353-J353)*U353)</f>
        <v/>
      </c>
      <c r="AA353" s="113">
        <f>IF(OR(X353="",Z353="",Z353=0),"",X353/Z353)</f>
        <v/>
      </c>
      <c r="AB353" s="114">
        <f>IF(OR(I353="",J353="",K353="",I353=J353),"",ABS(K353-I353)/ABS(I353-J353))</f>
        <v/>
      </c>
      <c r="AC353" s="51">
        <f>IF(OR(B353="",D353="",H353="",I353=""),"",IF(L353="","Ouvert",IF(X353&gt;0,"Gagné",IF(X353&lt;0,"Perdu","Neutre"))))</f>
        <v/>
      </c>
      <c r="AD353" s="115">
        <f>IF(X353="","",IF(C353="",B353,C353))</f>
        <v/>
      </c>
      <c r="AE353" s="109">
        <f>IF(B353="","",WEEKDAY(B353,2))</f>
        <v/>
      </c>
      <c r="AF353" s="112">
        <f>IF(X353="","",'Paramètres'!$C$9+SUM($X$6:X353))</f>
        <v/>
      </c>
      <c r="AG353" s="112">
        <f>IF(AF353="","",MAX('Paramètres'!$C$9,MAX($AF$6:AF353)))</f>
        <v/>
      </c>
      <c r="AH353" s="116">
        <f>IF(AF353="","",AF353/AG353-1)</f>
        <v/>
      </c>
      <c r="AI353" s="109">
        <f>IF(X353="","",IF(X353&gt;0,IF(N(AI352)&gt;0,N(AI352)+1,1),IF(X353&lt;0,IF(N(AI352)&lt;0,N(AI352)-1,-1),0)))</f>
        <v/>
      </c>
      <c r="AJ353" s="116">
        <f>IF(Z353="","",IFERROR(Z353/('Paramètres'!$C$9+SUM($X$5:X352)),""))</f>
        <v/>
      </c>
      <c r="AK353" s="109">
        <f>IF(AC353="Ouvert",COUNTIF($AC$6:AC353,"Ouvert"),"")</f>
        <v/>
      </c>
    </row>
    <row r="354" ht="19" customHeight="1">
      <c r="A354" s="104">
        <f>IF(B354="","",ROW()-5)</f>
        <v/>
      </c>
      <c r="B354" s="61" t="n"/>
      <c r="C354" s="61" t="n"/>
      <c r="D354" s="105" t="n"/>
      <c r="E354" s="49" t="n"/>
      <c r="F354" s="105" t="n"/>
      <c r="G354" s="49" t="n"/>
      <c r="H354" s="106" t="n"/>
      <c r="I354" s="107" t="n"/>
      <c r="J354" s="107" t="n"/>
      <c r="K354" s="107" t="n"/>
      <c r="L354" s="107" t="n"/>
      <c r="M354" s="106" t="n"/>
      <c r="N354" s="62" t="n"/>
      <c r="O354" s="49" t="n"/>
      <c r="P354" s="49" t="n"/>
      <c r="Q354" s="105" t="n"/>
      <c r="R354" s="105" t="n"/>
      <c r="S354" s="105" t="n"/>
      <c r="T354" s="105" t="n"/>
      <c r="U354" s="108">
        <f>IF(OR(H354="",I354="",I354=0),"",H354/I354)</f>
        <v/>
      </c>
      <c r="V354" s="109">
        <f>IF(OR(B354="",C354="",L354=""),"",MAX(0,C354-B354))</f>
        <v/>
      </c>
      <c r="W354" s="110">
        <f>IF(OR(L354="",U354=""),"",IF(E354="Short",(I354-L354)*U354,(L354-I354)*U354))</f>
        <v/>
      </c>
      <c r="X354" s="110">
        <f>IF(W354="","",W354-IF(M354="",0,M354))</f>
        <v/>
      </c>
      <c r="Y354" s="111">
        <f>IF(OR(X354="",H354="",H354=0),"",X354/H354)</f>
        <v/>
      </c>
      <c r="Z354" s="112">
        <f>IF(OR(I354="",J354="",U354=""),"",ABS(I354-J354)*U354)</f>
        <v/>
      </c>
      <c r="AA354" s="113">
        <f>IF(OR(X354="",Z354="",Z354=0),"",X354/Z354)</f>
        <v/>
      </c>
      <c r="AB354" s="114">
        <f>IF(OR(I354="",J354="",K354="",I354=J354),"",ABS(K354-I354)/ABS(I354-J354))</f>
        <v/>
      </c>
      <c r="AC354" s="51">
        <f>IF(OR(B354="",D354="",H354="",I354=""),"",IF(L354="","Ouvert",IF(X354&gt;0,"Gagné",IF(X354&lt;0,"Perdu","Neutre"))))</f>
        <v/>
      </c>
      <c r="AD354" s="115">
        <f>IF(X354="","",IF(C354="",B354,C354))</f>
        <v/>
      </c>
      <c r="AE354" s="109">
        <f>IF(B354="","",WEEKDAY(B354,2))</f>
        <v/>
      </c>
      <c r="AF354" s="112">
        <f>IF(X354="","",'Paramètres'!$C$9+SUM($X$6:X354))</f>
        <v/>
      </c>
      <c r="AG354" s="112">
        <f>IF(AF354="","",MAX('Paramètres'!$C$9,MAX($AF$6:AF354)))</f>
        <v/>
      </c>
      <c r="AH354" s="116">
        <f>IF(AF354="","",AF354/AG354-1)</f>
        <v/>
      </c>
      <c r="AI354" s="109">
        <f>IF(X354="","",IF(X354&gt;0,IF(N(AI353)&gt;0,N(AI353)+1,1),IF(X354&lt;0,IF(N(AI353)&lt;0,N(AI353)-1,-1),0)))</f>
        <v/>
      </c>
      <c r="AJ354" s="116">
        <f>IF(Z354="","",IFERROR(Z354/('Paramètres'!$C$9+SUM($X$5:X353)),""))</f>
        <v/>
      </c>
      <c r="AK354" s="109">
        <f>IF(AC354="Ouvert",COUNTIF($AC$6:AC354,"Ouvert"),"")</f>
        <v/>
      </c>
    </row>
    <row r="355" ht="19" customHeight="1">
      <c r="A355" s="104">
        <f>IF(B355="","",ROW()-5)</f>
        <v/>
      </c>
      <c r="B355" s="61" t="n"/>
      <c r="C355" s="61" t="n"/>
      <c r="D355" s="105" t="n"/>
      <c r="E355" s="49" t="n"/>
      <c r="F355" s="105" t="n"/>
      <c r="G355" s="49" t="n"/>
      <c r="H355" s="106" t="n"/>
      <c r="I355" s="107" t="n"/>
      <c r="J355" s="107" t="n"/>
      <c r="K355" s="107" t="n"/>
      <c r="L355" s="107" t="n"/>
      <c r="M355" s="106" t="n"/>
      <c r="N355" s="62" t="n"/>
      <c r="O355" s="49" t="n"/>
      <c r="P355" s="49" t="n"/>
      <c r="Q355" s="105" t="n"/>
      <c r="R355" s="105" t="n"/>
      <c r="S355" s="105" t="n"/>
      <c r="T355" s="105" t="n"/>
      <c r="U355" s="108">
        <f>IF(OR(H355="",I355="",I355=0),"",H355/I355)</f>
        <v/>
      </c>
      <c r="V355" s="109">
        <f>IF(OR(B355="",C355="",L355=""),"",MAX(0,C355-B355))</f>
        <v/>
      </c>
      <c r="W355" s="110">
        <f>IF(OR(L355="",U355=""),"",IF(E355="Short",(I355-L355)*U355,(L355-I355)*U355))</f>
        <v/>
      </c>
      <c r="X355" s="110">
        <f>IF(W355="","",W355-IF(M355="",0,M355))</f>
        <v/>
      </c>
      <c r="Y355" s="111">
        <f>IF(OR(X355="",H355="",H355=0),"",X355/H355)</f>
        <v/>
      </c>
      <c r="Z355" s="112">
        <f>IF(OR(I355="",J355="",U355=""),"",ABS(I355-J355)*U355)</f>
        <v/>
      </c>
      <c r="AA355" s="113">
        <f>IF(OR(X355="",Z355="",Z355=0),"",X355/Z355)</f>
        <v/>
      </c>
      <c r="AB355" s="114">
        <f>IF(OR(I355="",J355="",K355="",I355=J355),"",ABS(K355-I355)/ABS(I355-J355))</f>
        <v/>
      </c>
      <c r="AC355" s="51">
        <f>IF(OR(B355="",D355="",H355="",I355=""),"",IF(L355="","Ouvert",IF(X355&gt;0,"Gagné",IF(X355&lt;0,"Perdu","Neutre"))))</f>
        <v/>
      </c>
      <c r="AD355" s="115">
        <f>IF(X355="","",IF(C355="",B355,C355))</f>
        <v/>
      </c>
      <c r="AE355" s="109">
        <f>IF(B355="","",WEEKDAY(B355,2))</f>
        <v/>
      </c>
      <c r="AF355" s="112">
        <f>IF(X355="","",'Paramètres'!$C$9+SUM($X$6:X355))</f>
        <v/>
      </c>
      <c r="AG355" s="112">
        <f>IF(AF355="","",MAX('Paramètres'!$C$9,MAX($AF$6:AF355)))</f>
        <v/>
      </c>
      <c r="AH355" s="116">
        <f>IF(AF355="","",AF355/AG355-1)</f>
        <v/>
      </c>
      <c r="AI355" s="109">
        <f>IF(X355="","",IF(X355&gt;0,IF(N(AI354)&gt;0,N(AI354)+1,1),IF(X355&lt;0,IF(N(AI354)&lt;0,N(AI354)-1,-1),0)))</f>
        <v/>
      </c>
      <c r="AJ355" s="116">
        <f>IF(Z355="","",IFERROR(Z355/('Paramètres'!$C$9+SUM($X$5:X354)),""))</f>
        <v/>
      </c>
      <c r="AK355" s="109">
        <f>IF(AC355="Ouvert",COUNTIF($AC$6:AC355,"Ouvert"),"")</f>
        <v/>
      </c>
    </row>
    <row r="356" ht="19" customHeight="1">
      <c r="A356" s="104">
        <f>IF(B356="","",ROW()-5)</f>
        <v/>
      </c>
      <c r="B356" s="61" t="n"/>
      <c r="C356" s="61" t="n"/>
      <c r="D356" s="105" t="n"/>
      <c r="E356" s="49" t="n"/>
      <c r="F356" s="105" t="n"/>
      <c r="G356" s="49" t="n"/>
      <c r="H356" s="106" t="n"/>
      <c r="I356" s="107" t="n"/>
      <c r="J356" s="107" t="n"/>
      <c r="K356" s="107" t="n"/>
      <c r="L356" s="107" t="n"/>
      <c r="M356" s="106" t="n"/>
      <c r="N356" s="62" t="n"/>
      <c r="O356" s="49" t="n"/>
      <c r="P356" s="49" t="n"/>
      <c r="Q356" s="105" t="n"/>
      <c r="R356" s="105" t="n"/>
      <c r="S356" s="105" t="n"/>
      <c r="T356" s="105" t="n"/>
      <c r="U356" s="108">
        <f>IF(OR(H356="",I356="",I356=0),"",H356/I356)</f>
        <v/>
      </c>
      <c r="V356" s="109">
        <f>IF(OR(B356="",C356="",L356=""),"",MAX(0,C356-B356))</f>
        <v/>
      </c>
      <c r="W356" s="110">
        <f>IF(OR(L356="",U356=""),"",IF(E356="Short",(I356-L356)*U356,(L356-I356)*U356))</f>
        <v/>
      </c>
      <c r="X356" s="110">
        <f>IF(W356="","",W356-IF(M356="",0,M356))</f>
        <v/>
      </c>
      <c r="Y356" s="111">
        <f>IF(OR(X356="",H356="",H356=0),"",X356/H356)</f>
        <v/>
      </c>
      <c r="Z356" s="112">
        <f>IF(OR(I356="",J356="",U356=""),"",ABS(I356-J356)*U356)</f>
        <v/>
      </c>
      <c r="AA356" s="113">
        <f>IF(OR(X356="",Z356="",Z356=0),"",X356/Z356)</f>
        <v/>
      </c>
      <c r="AB356" s="114">
        <f>IF(OR(I356="",J356="",K356="",I356=J356),"",ABS(K356-I356)/ABS(I356-J356))</f>
        <v/>
      </c>
      <c r="AC356" s="51">
        <f>IF(OR(B356="",D356="",H356="",I356=""),"",IF(L356="","Ouvert",IF(X356&gt;0,"Gagné",IF(X356&lt;0,"Perdu","Neutre"))))</f>
        <v/>
      </c>
      <c r="AD356" s="115">
        <f>IF(X356="","",IF(C356="",B356,C356))</f>
        <v/>
      </c>
      <c r="AE356" s="109">
        <f>IF(B356="","",WEEKDAY(B356,2))</f>
        <v/>
      </c>
      <c r="AF356" s="112">
        <f>IF(X356="","",'Paramètres'!$C$9+SUM($X$6:X356))</f>
        <v/>
      </c>
      <c r="AG356" s="112">
        <f>IF(AF356="","",MAX('Paramètres'!$C$9,MAX($AF$6:AF356)))</f>
        <v/>
      </c>
      <c r="AH356" s="116">
        <f>IF(AF356="","",AF356/AG356-1)</f>
        <v/>
      </c>
      <c r="AI356" s="109">
        <f>IF(X356="","",IF(X356&gt;0,IF(N(AI355)&gt;0,N(AI355)+1,1),IF(X356&lt;0,IF(N(AI355)&lt;0,N(AI355)-1,-1),0)))</f>
        <v/>
      </c>
      <c r="AJ356" s="116">
        <f>IF(Z356="","",IFERROR(Z356/('Paramètres'!$C$9+SUM($X$5:X355)),""))</f>
        <v/>
      </c>
      <c r="AK356" s="109">
        <f>IF(AC356="Ouvert",COUNTIF($AC$6:AC356,"Ouvert"),"")</f>
        <v/>
      </c>
    </row>
    <row r="357" ht="19" customHeight="1">
      <c r="A357" s="104">
        <f>IF(B357="","",ROW()-5)</f>
        <v/>
      </c>
      <c r="B357" s="61" t="n"/>
      <c r="C357" s="61" t="n"/>
      <c r="D357" s="105" t="n"/>
      <c r="E357" s="49" t="n"/>
      <c r="F357" s="105" t="n"/>
      <c r="G357" s="49" t="n"/>
      <c r="H357" s="106" t="n"/>
      <c r="I357" s="107" t="n"/>
      <c r="J357" s="107" t="n"/>
      <c r="K357" s="107" t="n"/>
      <c r="L357" s="107" t="n"/>
      <c r="M357" s="106" t="n"/>
      <c r="N357" s="62" t="n"/>
      <c r="O357" s="49" t="n"/>
      <c r="P357" s="49" t="n"/>
      <c r="Q357" s="105" t="n"/>
      <c r="R357" s="105" t="n"/>
      <c r="S357" s="105" t="n"/>
      <c r="T357" s="105" t="n"/>
      <c r="U357" s="108">
        <f>IF(OR(H357="",I357="",I357=0),"",H357/I357)</f>
        <v/>
      </c>
      <c r="V357" s="109">
        <f>IF(OR(B357="",C357="",L357=""),"",MAX(0,C357-B357))</f>
        <v/>
      </c>
      <c r="W357" s="110">
        <f>IF(OR(L357="",U357=""),"",IF(E357="Short",(I357-L357)*U357,(L357-I357)*U357))</f>
        <v/>
      </c>
      <c r="X357" s="110">
        <f>IF(W357="","",W357-IF(M357="",0,M357))</f>
        <v/>
      </c>
      <c r="Y357" s="111">
        <f>IF(OR(X357="",H357="",H357=0),"",X357/H357)</f>
        <v/>
      </c>
      <c r="Z357" s="112">
        <f>IF(OR(I357="",J357="",U357=""),"",ABS(I357-J357)*U357)</f>
        <v/>
      </c>
      <c r="AA357" s="113">
        <f>IF(OR(X357="",Z357="",Z357=0),"",X357/Z357)</f>
        <v/>
      </c>
      <c r="AB357" s="114">
        <f>IF(OR(I357="",J357="",K357="",I357=J357),"",ABS(K357-I357)/ABS(I357-J357))</f>
        <v/>
      </c>
      <c r="AC357" s="51">
        <f>IF(OR(B357="",D357="",H357="",I357=""),"",IF(L357="","Ouvert",IF(X357&gt;0,"Gagné",IF(X357&lt;0,"Perdu","Neutre"))))</f>
        <v/>
      </c>
      <c r="AD357" s="115">
        <f>IF(X357="","",IF(C357="",B357,C357))</f>
        <v/>
      </c>
      <c r="AE357" s="109">
        <f>IF(B357="","",WEEKDAY(B357,2))</f>
        <v/>
      </c>
      <c r="AF357" s="112">
        <f>IF(X357="","",'Paramètres'!$C$9+SUM($X$6:X357))</f>
        <v/>
      </c>
      <c r="AG357" s="112">
        <f>IF(AF357="","",MAX('Paramètres'!$C$9,MAX($AF$6:AF357)))</f>
        <v/>
      </c>
      <c r="AH357" s="116">
        <f>IF(AF357="","",AF357/AG357-1)</f>
        <v/>
      </c>
      <c r="AI357" s="109">
        <f>IF(X357="","",IF(X357&gt;0,IF(N(AI356)&gt;0,N(AI356)+1,1),IF(X357&lt;0,IF(N(AI356)&lt;0,N(AI356)-1,-1),0)))</f>
        <v/>
      </c>
      <c r="AJ357" s="116">
        <f>IF(Z357="","",IFERROR(Z357/('Paramètres'!$C$9+SUM($X$5:X356)),""))</f>
        <v/>
      </c>
      <c r="AK357" s="109">
        <f>IF(AC357="Ouvert",COUNTIF($AC$6:AC357,"Ouvert"),"")</f>
        <v/>
      </c>
    </row>
    <row r="358" ht="19" customHeight="1">
      <c r="A358" s="104">
        <f>IF(B358="","",ROW()-5)</f>
        <v/>
      </c>
      <c r="B358" s="61" t="n"/>
      <c r="C358" s="61" t="n"/>
      <c r="D358" s="105" t="n"/>
      <c r="E358" s="49" t="n"/>
      <c r="F358" s="105" t="n"/>
      <c r="G358" s="49" t="n"/>
      <c r="H358" s="106" t="n"/>
      <c r="I358" s="107" t="n"/>
      <c r="J358" s="107" t="n"/>
      <c r="K358" s="107" t="n"/>
      <c r="L358" s="107" t="n"/>
      <c r="M358" s="106" t="n"/>
      <c r="N358" s="62" t="n"/>
      <c r="O358" s="49" t="n"/>
      <c r="P358" s="49" t="n"/>
      <c r="Q358" s="105" t="n"/>
      <c r="R358" s="105" t="n"/>
      <c r="S358" s="105" t="n"/>
      <c r="T358" s="105" t="n"/>
      <c r="U358" s="108">
        <f>IF(OR(H358="",I358="",I358=0),"",H358/I358)</f>
        <v/>
      </c>
      <c r="V358" s="109">
        <f>IF(OR(B358="",C358="",L358=""),"",MAX(0,C358-B358))</f>
        <v/>
      </c>
      <c r="W358" s="110">
        <f>IF(OR(L358="",U358=""),"",IF(E358="Short",(I358-L358)*U358,(L358-I358)*U358))</f>
        <v/>
      </c>
      <c r="X358" s="110">
        <f>IF(W358="","",W358-IF(M358="",0,M358))</f>
        <v/>
      </c>
      <c r="Y358" s="111">
        <f>IF(OR(X358="",H358="",H358=0),"",X358/H358)</f>
        <v/>
      </c>
      <c r="Z358" s="112">
        <f>IF(OR(I358="",J358="",U358=""),"",ABS(I358-J358)*U358)</f>
        <v/>
      </c>
      <c r="AA358" s="113">
        <f>IF(OR(X358="",Z358="",Z358=0),"",X358/Z358)</f>
        <v/>
      </c>
      <c r="AB358" s="114">
        <f>IF(OR(I358="",J358="",K358="",I358=J358),"",ABS(K358-I358)/ABS(I358-J358))</f>
        <v/>
      </c>
      <c r="AC358" s="51">
        <f>IF(OR(B358="",D358="",H358="",I358=""),"",IF(L358="","Ouvert",IF(X358&gt;0,"Gagné",IF(X358&lt;0,"Perdu","Neutre"))))</f>
        <v/>
      </c>
      <c r="AD358" s="115">
        <f>IF(X358="","",IF(C358="",B358,C358))</f>
        <v/>
      </c>
      <c r="AE358" s="109">
        <f>IF(B358="","",WEEKDAY(B358,2))</f>
        <v/>
      </c>
      <c r="AF358" s="112">
        <f>IF(X358="","",'Paramètres'!$C$9+SUM($X$6:X358))</f>
        <v/>
      </c>
      <c r="AG358" s="112">
        <f>IF(AF358="","",MAX('Paramètres'!$C$9,MAX($AF$6:AF358)))</f>
        <v/>
      </c>
      <c r="AH358" s="116">
        <f>IF(AF358="","",AF358/AG358-1)</f>
        <v/>
      </c>
      <c r="AI358" s="109">
        <f>IF(X358="","",IF(X358&gt;0,IF(N(AI357)&gt;0,N(AI357)+1,1),IF(X358&lt;0,IF(N(AI357)&lt;0,N(AI357)-1,-1),0)))</f>
        <v/>
      </c>
      <c r="AJ358" s="116">
        <f>IF(Z358="","",IFERROR(Z358/('Paramètres'!$C$9+SUM($X$5:X357)),""))</f>
        <v/>
      </c>
      <c r="AK358" s="109">
        <f>IF(AC358="Ouvert",COUNTIF($AC$6:AC358,"Ouvert"),"")</f>
        <v/>
      </c>
    </row>
    <row r="359" ht="19" customHeight="1">
      <c r="A359" s="104">
        <f>IF(B359="","",ROW()-5)</f>
        <v/>
      </c>
      <c r="B359" s="61" t="n"/>
      <c r="C359" s="61" t="n"/>
      <c r="D359" s="105" t="n"/>
      <c r="E359" s="49" t="n"/>
      <c r="F359" s="105" t="n"/>
      <c r="G359" s="49" t="n"/>
      <c r="H359" s="106" t="n"/>
      <c r="I359" s="107" t="n"/>
      <c r="J359" s="107" t="n"/>
      <c r="K359" s="107" t="n"/>
      <c r="L359" s="107" t="n"/>
      <c r="M359" s="106" t="n"/>
      <c r="N359" s="62" t="n"/>
      <c r="O359" s="49" t="n"/>
      <c r="P359" s="49" t="n"/>
      <c r="Q359" s="105" t="n"/>
      <c r="R359" s="105" t="n"/>
      <c r="S359" s="105" t="n"/>
      <c r="T359" s="105" t="n"/>
      <c r="U359" s="108">
        <f>IF(OR(H359="",I359="",I359=0),"",H359/I359)</f>
        <v/>
      </c>
      <c r="V359" s="109">
        <f>IF(OR(B359="",C359="",L359=""),"",MAX(0,C359-B359))</f>
        <v/>
      </c>
      <c r="W359" s="110">
        <f>IF(OR(L359="",U359=""),"",IF(E359="Short",(I359-L359)*U359,(L359-I359)*U359))</f>
        <v/>
      </c>
      <c r="X359" s="110">
        <f>IF(W359="","",W359-IF(M359="",0,M359))</f>
        <v/>
      </c>
      <c r="Y359" s="111">
        <f>IF(OR(X359="",H359="",H359=0),"",X359/H359)</f>
        <v/>
      </c>
      <c r="Z359" s="112">
        <f>IF(OR(I359="",J359="",U359=""),"",ABS(I359-J359)*U359)</f>
        <v/>
      </c>
      <c r="AA359" s="113">
        <f>IF(OR(X359="",Z359="",Z359=0),"",X359/Z359)</f>
        <v/>
      </c>
      <c r="AB359" s="114">
        <f>IF(OR(I359="",J359="",K359="",I359=J359),"",ABS(K359-I359)/ABS(I359-J359))</f>
        <v/>
      </c>
      <c r="AC359" s="51">
        <f>IF(OR(B359="",D359="",H359="",I359=""),"",IF(L359="","Ouvert",IF(X359&gt;0,"Gagné",IF(X359&lt;0,"Perdu","Neutre"))))</f>
        <v/>
      </c>
      <c r="AD359" s="115">
        <f>IF(X359="","",IF(C359="",B359,C359))</f>
        <v/>
      </c>
      <c r="AE359" s="109">
        <f>IF(B359="","",WEEKDAY(B359,2))</f>
        <v/>
      </c>
      <c r="AF359" s="112">
        <f>IF(X359="","",'Paramètres'!$C$9+SUM($X$6:X359))</f>
        <v/>
      </c>
      <c r="AG359" s="112">
        <f>IF(AF359="","",MAX('Paramètres'!$C$9,MAX($AF$6:AF359)))</f>
        <v/>
      </c>
      <c r="AH359" s="116">
        <f>IF(AF359="","",AF359/AG359-1)</f>
        <v/>
      </c>
      <c r="AI359" s="109">
        <f>IF(X359="","",IF(X359&gt;0,IF(N(AI358)&gt;0,N(AI358)+1,1),IF(X359&lt;0,IF(N(AI358)&lt;0,N(AI358)-1,-1),0)))</f>
        <v/>
      </c>
      <c r="AJ359" s="116">
        <f>IF(Z359="","",IFERROR(Z359/('Paramètres'!$C$9+SUM($X$5:X358)),""))</f>
        <v/>
      </c>
      <c r="AK359" s="109">
        <f>IF(AC359="Ouvert",COUNTIF($AC$6:AC359,"Ouvert"),"")</f>
        <v/>
      </c>
    </row>
    <row r="360" ht="19" customHeight="1">
      <c r="A360" s="104">
        <f>IF(B360="","",ROW()-5)</f>
        <v/>
      </c>
      <c r="B360" s="61" t="n"/>
      <c r="C360" s="61" t="n"/>
      <c r="D360" s="105" t="n"/>
      <c r="E360" s="49" t="n"/>
      <c r="F360" s="105" t="n"/>
      <c r="G360" s="49" t="n"/>
      <c r="H360" s="106" t="n"/>
      <c r="I360" s="107" t="n"/>
      <c r="J360" s="107" t="n"/>
      <c r="K360" s="107" t="n"/>
      <c r="L360" s="107" t="n"/>
      <c r="M360" s="106" t="n"/>
      <c r="N360" s="62" t="n"/>
      <c r="O360" s="49" t="n"/>
      <c r="P360" s="49" t="n"/>
      <c r="Q360" s="105" t="n"/>
      <c r="R360" s="105" t="n"/>
      <c r="S360" s="105" t="n"/>
      <c r="T360" s="105" t="n"/>
      <c r="U360" s="108">
        <f>IF(OR(H360="",I360="",I360=0),"",H360/I360)</f>
        <v/>
      </c>
      <c r="V360" s="109">
        <f>IF(OR(B360="",C360="",L360=""),"",MAX(0,C360-B360))</f>
        <v/>
      </c>
      <c r="W360" s="110">
        <f>IF(OR(L360="",U360=""),"",IF(E360="Short",(I360-L360)*U360,(L360-I360)*U360))</f>
        <v/>
      </c>
      <c r="X360" s="110">
        <f>IF(W360="","",W360-IF(M360="",0,M360))</f>
        <v/>
      </c>
      <c r="Y360" s="111">
        <f>IF(OR(X360="",H360="",H360=0),"",X360/H360)</f>
        <v/>
      </c>
      <c r="Z360" s="112">
        <f>IF(OR(I360="",J360="",U360=""),"",ABS(I360-J360)*U360)</f>
        <v/>
      </c>
      <c r="AA360" s="113">
        <f>IF(OR(X360="",Z360="",Z360=0),"",X360/Z360)</f>
        <v/>
      </c>
      <c r="AB360" s="114">
        <f>IF(OR(I360="",J360="",K360="",I360=J360),"",ABS(K360-I360)/ABS(I360-J360))</f>
        <v/>
      </c>
      <c r="AC360" s="51">
        <f>IF(OR(B360="",D360="",H360="",I360=""),"",IF(L360="","Ouvert",IF(X360&gt;0,"Gagné",IF(X360&lt;0,"Perdu","Neutre"))))</f>
        <v/>
      </c>
      <c r="AD360" s="115">
        <f>IF(X360="","",IF(C360="",B360,C360))</f>
        <v/>
      </c>
      <c r="AE360" s="109">
        <f>IF(B360="","",WEEKDAY(B360,2))</f>
        <v/>
      </c>
      <c r="AF360" s="112">
        <f>IF(X360="","",'Paramètres'!$C$9+SUM($X$6:X360))</f>
        <v/>
      </c>
      <c r="AG360" s="112">
        <f>IF(AF360="","",MAX('Paramètres'!$C$9,MAX($AF$6:AF360)))</f>
        <v/>
      </c>
      <c r="AH360" s="116">
        <f>IF(AF360="","",AF360/AG360-1)</f>
        <v/>
      </c>
      <c r="AI360" s="109">
        <f>IF(X360="","",IF(X360&gt;0,IF(N(AI359)&gt;0,N(AI359)+1,1),IF(X360&lt;0,IF(N(AI359)&lt;0,N(AI359)-1,-1),0)))</f>
        <v/>
      </c>
      <c r="AJ360" s="116">
        <f>IF(Z360="","",IFERROR(Z360/('Paramètres'!$C$9+SUM($X$5:X359)),""))</f>
        <v/>
      </c>
      <c r="AK360" s="109">
        <f>IF(AC360="Ouvert",COUNTIF($AC$6:AC360,"Ouvert"),"")</f>
        <v/>
      </c>
    </row>
    <row r="361" ht="19" customHeight="1">
      <c r="A361" s="104">
        <f>IF(B361="","",ROW()-5)</f>
        <v/>
      </c>
      <c r="B361" s="61" t="n"/>
      <c r="C361" s="61" t="n"/>
      <c r="D361" s="105" t="n"/>
      <c r="E361" s="49" t="n"/>
      <c r="F361" s="105" t="n"/>
      <c r="G361" s="49" t="n"/>
      <c r="H361" s="106" t="n"/>
      <c r="I361" s="107" t="n"/>
      <c r="J361" s="107" t="n"/>
      <c r="K361" s="107" t="n"/>
      <c r="L361" s="107" t="n"/>
      <c r="M361" s="106" t="n"/>
      <c r="N361" s="62" t="n"/>
      <c r="O361" s="49" t="n"/>
      <c r="P361" s="49" t="n"/>
      <c r="Q361" s="105" t="n"/>
      <c r="R361" s="105" t="n"/>
      <c r="S361" s="105" t="n"/>
      <c r="T361" s="105" t="n"/>
      <c r="U361" s="108">
        <f>IF(OR(H361="",I361="",I361=0),"",H361/I361)</f>
        <v/>
      </c>
      <c r="V361" s="109">
        <f>IF(OR(B361="",C361="",L361=""),"",MAX(0,C361-B361))</f>
        <v/>
      </c>
      <c r="W361" s="110">
        <f>IF(OR(L361="",U361=""),"",IF(E361="Short",(I361-L361)*U361,(L361-I361)*U361))</f>
        <v/>
      </c>
      <c r="X361" s="110">
        <f>IF(W361="","",W361-IF(M361="",0,M361))</f>
        <v/>
      </c>
      <c r="Y361" s="111">
        <f>IF(OR(X361="",H361="",H361=0),"",X361/H361)</f>
        <v/>
      </c>
      <c r="Z361" s="112">
        <f>IF(OR(I361="",J361="",U361=""),"",ABS(I361-J361)*U361)</f>
        <v/>
      </c>
      <c r="AA361" s="113">
        <f>IF(OR(X361="",Z361="",Z361=0),"",X361/Z361)</f>
        <v/>
      </c>
      <c r="AB361" s="114">
        <f>IF(OR(I361="",J361="",K361="",I361=J361),"",ABS(K361-I361)/ABS(I361-J361))</f>
        <v/>
      </c>
      <c r="AC361" s="51">
        <f>IF(OR(B361="",D361="",H361="",I361=""),"",IF(L361="","Ouvert",IF(X361&gt;0,"Gagné",IF(X361&lt;0,"Perdu","Neutre"))))</f>
        <v/>
      </c>
      <c r="AD361" s="115">
        <f>IF(X361="","",IF(C361="",B361,C361))</f>
        <v/>
      </c>
      <c r="AE361" s="109">
        <f>IF(B361="","",WEEKDAY(B361,2))</f>
        <v/>
      </c>
      <c r="AF361" s="112">
        <f>IF(X361="","",'Paramètres'!$C$9+SUM($X$6:X361))</f>
        <v/>
      </c>
      <c r="AG361" s="112">
        <f>IF(AF361="","",MAX('Paramètres'!$C$9,MAX($AF$6:AF361)))</f>
        <v/>
      </c>
      <c r="AH361" s="116">
        <f>IF(AF361="","",AF361/AG361-1)</f>
        <v/>
      </c>
      <c r="AI361" s="109">
        <f>IF(X361="","",IF(X361&gt;0,IF(N(AI360)&gt;0,N(AI360)+1,1),IF(X361&lt;0,IF(N(AI360)&lt;0,N(AI360)-1,-1),0)))</f>
        <v/>
      </c>
      <c r="AJ361" s="116">
        <f>IF(Z361="","",IFERROR(Z361/('Paramètres'!$C$9+SUM($X$5:X360)),""))</f>
        <v/>
      </c>
      <c r="AK361" s="109">
        <f>IF(AC361="Ouvert",COUNTIF($AC$6:AC361,"Ouvert"),"")</f>
        <v/>
      </c>
    </row>
    <row r="362" ht="19" customHeight="1">
      <c r="A362" s="104">
        <f>IF(B362="","",ROW()-5)</f>
        <v/>
      </c>
      <c r="B362" s="61" t="n"/>
      <c r="C362" s="61" t="n"/>
      <c r="D362" s="105" t="n"/>
      <c r="E362" s="49" t="n"/>
      <c r="F362" s="105" t="n"/>
      <c r="G362" s="49" t="n"/>
      <c r="H362" s="106" t="n"/>
      <c r="I362" s="107" t="n"/>
      <c r="J362" s="107" t="n"/>
      <c r="K362" s="107" t="n"/>
      <c r="L362" s="107" t="n"/>
      <c r="M362" s="106" t="n"/>
      <c r="N362" s="62" t="n"/>
      <c r="O362" s="49" t="n"/>
      <c r="P362" s="49" t="n"/>
      <c r="Q362" s="105" t="n"/>
      <c r="R362" s="105" t="n"/>
      <c r="S362" s="105" t="n"/>
      <c r="T362" s="105" t="n"/>
      <c r="U362" s="108">
        <f>IF(OR(H362="",I362="",I362=0),"",H362/I362)</f>
        <v/>
      </c>
      <c r="V362" s="109">
        <f>IF(OR(B362="",C362="",L362=""),"",MAX(0,C362-B362))</f>
        <v/>
      </c>
      <c r="W362" s="110">
        <f>IF(OR(L362="",U362=""),"",IF(E362="Short",(I362-L362)*U362,(L362-I362)*U362))</f>
        <v/>
      </c>
      <c r="X362" s="110">
        <f>IF(W362="","",W362-IF(M362="",0,M362))</f>
        <v/>
      </c>
      <c r="Y362" s="111">
        <f>IF(OR(X362="",H362="",H362=0),"",X362/H362)</f>
        <v/>
      </c>
      <c r="Z362" s="112">
        <f>IF(OR(I362="",J362="",U362=""),"",ABS(I362-J362)*U362)</f>
        <v/>
      </c>
      <c r="AA362" s="113">
        <f>IF(OR(X362="",Z362="",Z362=0),"",X362/Z362)</f>
        <v/>
      </c>
      <c r="AB362" s="114">
        <f>IF(OR(I362="",J362="",K362="",I362=J362),"",ABS(K362-I362)/ABS(I362-J362))</f>
        <v/>
      </c>
      <c r="AC362" s="51">
        <f>IF(OR(B362="",D362="",H362="",I362=""),"",IF(L362="","Ouvert",IF(X362&gt;0,"Gagné",IF(X362&lt;0,"Perdu","Neutre"))))</f>
        <v/>
      </c>
      <c r="AD362" s="115">
        <f>IF(X362="","",IF(C362="",B362,C362))</f>
        <v/>
      </c>
      <c r="AE362" s="109">
        <f>IF(B362="","",WEEKDAY(B362,2))</f>
        <v/>
      </c>
      <c r="AF362" s="112">
        <f>IF(X362="","",'Paramètres'!$C$9+SUM($X$6:X362))</f>
        <v/>
      </c>
      <c r="AG362" s="112">
        <f>IF(AF362="","",MAX('Paramètres'!$C$9,MAX($AF$6:AF362)))</f>
        <v/>
      </c>
      <c r="AH362" s="116">
        <f>IF(AF362="","",AF362/AG362-1)</f>
        <v/>
      </c>
      <c r="AI362" s="109">
        <f>IF(X362="","",IF(X362&gt;0,IF(N(AI361)&gt;0,N(AI361)+1,1),IF(X362&lt;0,IF(N(AI361)&lt;0,N(AI361)-1,-1),0)))</f>
        <v/>
      </c>
      <c r="AJ362" s="116">
        <f>IF(Z362="","",IFERROR(Z362/('Paramètres'!$C$9+SUM($X$5:X361)),""))</f>
        <v/>
      </c>
      <c r="AK362" s="109">
        <f>IF(AC362="Ouvert",COUNTIF($AC$6:AC362,"Ouvert"),"")</f>
        <v/>
      </c>
    </row>
    <row r="363" ht="19" customHeight="1">
      <c r="A363" s="104">
        <f>IF(B363="","",ROW()-5)</f>
        <v/>
      </c>
      <c r="B363" s="61" t="n"/>
      <c r="C363" s="61" t="n"/>
      <c r="D363" s="105" t="n"/>
      <c r="E363" s="49" t="n"/>
      <c r="F363" s="105" t="n"/>
      <c r="G363" s="49" t="n"/>
      <c r="H363" s="106" t="n"/>
      <c r="I363" s="107" t="n"/>
      <c r="J363" s="107" t="n"/>
      <c r="K363" s="107" t="n"/>
      <c r="L363" s="107" t="n"/>
      <c r="M363" s="106" t="n"/>
      <c r="N363" s="62" t="n"/>
      <c r="O363" s="49" t="n"/>
      <c r="P363" s="49" t="n"/>
      <c r="Q363" s="105" t="n"/>
      <c r="R363" s="105" t="n"/>
      <c r="S363" s="105" t="n"/>
      <c r="T363" s="105" t="n"/>
      <c r="U363" s="108">
        <f>IF(OR(H363="",I363="",I363=0),"",H363/I363)</f>
        <v/>
      </c>
      <c r="V363" s="109">
        <f>IF(OR(B363="",C363="",L363=""),"",MAX(0,C363-B363))</f>
        <v/>
      </c>
      <c r="W363" s="110">
        <f>IF(OR(L363="",U363=""),"",IF(E363="Short",(I363-L363)*U363,(L363-I363)*U363))</f>
        <v/>
      </c>
      <c r="X363" s="110">
        <f>IF(W363="","",W363-IF(M363="",0,M363))</f>
        <v/>
      </c>
      <c r="Y363" s="111">
        <f>IF(OR(X363="",H363="",H363=0),"",X363/H363)</f>
        <v/>
      </c>
      <c r="Z363" s="112">
        <f>IF(OR(I363="",J363="",U363=""),"",ABS(I363-J363)*U363)</f>
        <v/>
      </c>
      <c r="AA363" s="113">
        <f>IF(OR(X363="",Z363="",Z363=0),"",X363/Z363)</f>
        <v/>
      </c>
      <c r="AB363" s="114">
        <f>IF(OR(I363="",J363="",K363="",I363=J363),"",ABS(K363-I363)/ABS(I363-J363))</f>
        <v/>
      </c>
      <c r="AC363" s="51">
        <f>IF(OR(B363="",D363="",H363="",I363=""),"",IF(L363="","Ouvert",IF(X363&gt;0,"Gagné",IF(X363&lt;0,"Perdu","Neutre"))))</f>
        <v/>
      </c>
      <c r="AD363" s="115">
        <f>IF(X363="","",IF(C363="",B363,C363))</f>
        <v/>
      </c>
      <c r="AE363" s="109">
        <f>IF(B363="","",WEEKDAY(B363,2))</f>
        <v/>
      </c>
      <c r="AF363" s="112">
        <f>IF(X363="","",'Paramètres'!$C$9+SUM($X$6:X363))</f>
        <v/>
      </c>
      <c r="AG363" s="112">
        <f>IF(AF363="","",MAX('Paramètres'!$C$9,MAX($AF$6:AF363)))</f>
        <v/>
      </c>
      <c r="AH363" s="116">
        <f>IF(AF363="","",AF363/AG363-1)</f>
        <v/>
      </c>
      <c r="AI363" s="109">
        <f>IF(X363="","",IF(X363&gt;0,IF(N(AI362)&gt;0,N(AI362)+1,1),IF(X363&lt;0,IF(N(AI362)&lt;0,N(AI362)-1,-1),0)))</f>
        <v/>
      </c>
      <c r="AJ363" s="116">
        <f>IF(Z363="","",IFERROR(Z363/('Paramètres'!$C$9+SUM($X$5:X362)),""))</f>
        <v/>
      </c>
      <c r="AK363" s="109">
        <f>IF(AC363="Ouvert",COUNTIF($AC$6:AC363,"Ouvert"),"")</f>
        <v/>
      </c>
    </row>
    <row r="364" ht="19" customHeight="1">
      <c r="A364" s="104">
        <f>IF(B364="","",ROW()-5)</f>
        <v/>
      </c>
      <c r="B364" s="61" t="n"/>
      <c r="C364" s="61" t="n"/>
      <c r="D364" s="105" t="n"/>
      <c r="E364" s="49" t="n"/>
      <c r="F364" s="105" t="n"/>
      <c r="G364" s="49" t="n"/>
      <c r="H364" s="106" t="n"/>
      <c r="I364" s="107" t="n"/>
      <c r="J364" s="107" t="n"/>
      <c r="K364" s="107" t="n"/>
      <c r="L364" s="107" t="n"/>
      <c r="M364" s="106" t="n"/>
      <c r="N364" s="62" t="n"/>
      <c r="O364" s="49" t="n"/>
      <c r="P364" s="49" t="n"/>
      <c r="Q364" s="105" t="n"/>
      <c r="R364" s="105" t="n"/>
      <c r="S364" s="105" t="n"/>
      <c r="T364" s="105" t="n"/>
      <c r="U364" s="108">
        <f>IF(OR(H364="",I364="",I364=0),"",H364/I364)</f>
        <v/>
      </c>
      <c r="V364" s="109">
        <f>IF(OR(B364="",C364="",L364=""),"",MAX(0,C364-B364))</f>
        <v/>
      </c>
      <c r="W364" s="110">
        <f>IF(OR(L364="",U364=""),"",IF(E364="Short",(I364-L364)*U364,(L364-I364)*U364))</f>
        <v/>
      </c>
      <c r="X364" s="110">
        <f>IF(W364="","",W364-IF(M364="",0,M364))</f>
        <v/>
      </c>
      <c r="Y364" s="111">
        <f>IF(OR(X364="",H364="",H364=0),"",X364/H364)</f>
        <v/>
      </c>
      <c r="Z364" s="112">
        <f>IF(OR(I364="",J364="",U364=""),"",ABS(I364-J364)*U364)</f>
        <v/>
      </c>
      <c r="AA364" s="113">
        <f>IF(OR(X364="",Z364="",Z364=0),"",X364/Z364)</f>
        <v/>
      </c>
      <c r="AB364" s="114">
        <f>IF(OR(I364="",J364="",K364="",I364=J364),"",ABS(K364-I364)/ABS(I364-J364))</f>
        <v/>
      </c>
      <c r="AC364" s="51">
        <f>IF(OR(B364="",D364="",H364="",I364=""),"",IF(L364="","Ouvert",IF(X364&gt;0,"Gagné",IF(X364&lt;0,"Perdu","Neutre"))))</f>
        <v/>
      </c>
      <c r="AD364" s="115">
        <f>IF(X364="","",IF(C364="",B364,C364))</f>
        <v/>
      </c>
      <c r="AE364" s="109">
        <f>IF(B364="","",WEEKDAY(B364,2))</f>
        <v/>
      </c>
      <c r="AF364" s="112">
        <f>IF(X364="","",'Paramètres'!$C$9+SUM($X$6:X364))</f>
        <v/>
      </c>
      <c r="AG364" s="112">
        <f>IF(AF364="","",MAX('Paramètres'!$C$9,MAX($AF$6:AF364)))</f>
        <v/>
      </c>
      <c r="AH364" s="116">
        <f>IF(AF364="","",AF364/AG364-1)</f>
        <v/>
      </c>
      <c r="AI364" s="109">
        <f>IF(X364="","",IF(X364&gt;0,IF(N(AI363)&gt;0,N(AI363)+1,1),IF(X364&lt;0,IF(N(AI363)&lt;0,N(AI363)-1,-1),0)))</f>
        <v/>
      </c>
      <c r="AJ364" s="116">
        <f>IF(Z364="","",IFERROR(Z364/('Paramètres'!$C$9+SUM($X$5:X363)),""))</f>
        <v/>
      </c>
      <c r="AK364" s="109">
        <f>IF(AC364="Ouvert",COUNTIF($AC$6:AC364,"Ouvert"),"")</f>
        <v/>
      </c>
    </row>
    <row r="365" ht="19" customHeight="1">
      <c r="A365" s="104">
        <f>IF(B365="","",ROW()-5)</f>
        <v/>
      </c>
      <c r="B365" s="61" t="n"/>
      <c r="C365" s="61" t="n"/>
      <c r="D365" s="105" t="n"/>
      <c r="E365" s="49" t="n"/>
      <c r="F365" s="105" t="n"/>
      <c r="G365" s="49" t="n"/>
      <c r="H365" s="106" t="n"/>
      <c r="I365" s="107" t="n"/>
      <c r="J365" s="107" t="n"/>
      <c r="K365" s="107" t="n"/>
      <c r="L365" s="107" t="n"/>
      <c r="M365" s="106" t="n"/>
      <c r="N365" s="62" t="n"/>
      <c r="O365" s="49" t="n"/>
      <c r="P365" s="49" t="n"/>
      <c r="Q365" s="105" t="n"/>
      <c r="R365" s="105" t="n"/>
      <c r="S365" s="105" t="n"/>
      <c r="T365" s="105" t="n"/>
      <c r="U365" s="108">
        <f>IF(OR(H365="",I365="",I365=0),"",H365/I365)</f>
        <v/>
      </c>
      <c r="V365" s="109">
        <f>IF(OR(B365="",C365="",L365=""),"",MAX(0,C365-B365))</f>
        <v/>
      </c>
      <c r="W365" s="110">
        <f>IF(OR(L365="",U365=""),"",IF(E365="Short",(I365-L365)*U365,(L365-I365)*U365))</f>
        <v/>
      </c>
      <c r="X365" s="110">
        <f>IF(W365="","",W365-IF(M365="",0,M365))</f>
        <v/>
      </c>
      <c r="Y365" s="111">
        <f>IF(OR(X365="",H365="",H365=0),"",X365/H365)</f>
        <v/>
      </c>
      <c r="Z365" s="112">
        <f>IF(OR(I365="",J365="",U365=""),"",ABS(I365-J365)*U365)</f>
        <v/>
      </c>
      <c r="AA365" s="113">
        <f>IF(OR(X365="",Z365="",Z365=0),"",X365/Z365)</f>
        <v/>
      </c>
      <c r="AB365" s="114">
        <f>IF(OR(I365="",J365="",K365="",I365=J365),"",ABS(K365-I365)/ABS(I365-J365))</f>
        <v/>
      </c>
      <c r="AC365" s="51">
        <f>IF(OR(B365="",D365="",H365="",I365=""),"",IF(L365="","Ouvert",IF(X365&gt;0,"Gagné",IF(X365&lt;0,"Perdu","Neutre"))))</f>
        <v/>
      </c>
      <c r="AD365" s="115">
        <f>IF(X365="","",IF(C365="",B365,C365))</f>
        <v/>
      </c>
      <c r="AE365" s="109">
        <f>IF(B365="","",WEEKDAY(B365,2))</f>
        <v/>
      </c>
      <c r="AF365" s="112">
        <f>IF(X365="","",'Paramètres'!$C$9+SUM($X$6:X365))</f>
        <v/>
      </c>
      <c r="AG365" s="112">
        <f>IF(AF365="","",MAX('Paramètres'!$C$9,MAX($AF$6:AF365)))</f>
        <v/>
      </c>
      <c r="AH365" s="116">
        <f>IF(AF365="","",AF365/AG365-1)</f>
        <v/>
      </c>
      <c r="AI365" s="109">
        <f>IF(X365="","",IF(X365&gt;0,IF(N(AI364)&gt;0,N(AI364)+1,1),IF(X365&lt;0,IF(N(AI364)&lt;0,N(AI364)-1,-1),0)))</f>
        <v/>
      </c>
      <c r="AJ365" s="116">
        <f>IF(Z365="","",IFERROR(Z365/('Paramètres'!$C$9+SUM($X$5:X364)),""))</f>
        <v/>
      </c>
      <c r="AK365" s="109">
        <f>IF(AC365="Ouvert",COUNTIF($AC$6:AC365,"Ouvert"),"")</f>
        <v/>
      </c>
    </row>
    <row r="366" ht="19" customHeight="1">
      <c r="A366" s="104">
        <f>IF(B366="","",ROW()-5)</f>
        <v/>
      </c>
      <c r="B366" s="61" t="n"/>
      <c r="C366" s="61" t="n"/>
      <c r="D366" s="105" t="n"/>
      <c r="E366" s="49" t="n"/>
      <c r="F366" s="105" t="n"/>
      <c r="G366" s="49" t="n"/>
      <c r="H366" s="106" t="n"/>
      <c r="I366" s="107" t="n"/>
      <c r="J366" s="107" t="n"/>
      <c r="K366" s="107" t="n"/>
      <c r="L366" s="107" t="n"/>
      <c r="M366" s="106" t="n"/>
      <c r="N366" s="62" t="n"/>
      <c r="O366" s="49" t="n"/>
      <c r="P366" s="49" t="n"/>
      <c r="Q366" s="105" t="n"/>
      <c r="R366" s="105" t="n"/>
      <c r="S366" s="105" t="n"/>
      <c r="T366" s="105" t="n"/>
      <c r="U366" s="108">
        <f>IF(OR(H366="",I366="",I366=0),"",H366/I366)</f>
        <v/>
      </c>
      <c r="V366" s="109">
        <f>IF(OR(B366="",C366="",L366=""),"",MAX(0,C366-B366))</f>
        <v/>
      </c>
      <c r="W366" s="110">
        <f>IF(OR(L366="",U366=""),"",IF(E366="Short",(I366-L366)*U366,(L366-I366)*U366))</f>
        <v/>
      </c>
      <c r="X366" s="110">
        <f>IF(W366="","",W366-IF(M366="",0,M366))</f>
        <v/>
      </c>
      <c r="Y366" s="111">
        <f>IF(OR(X366="",H366="",H366=0),"",X366/H366)</f>
        <v/>
      </c>
      <c r="Z366" s="112">
        <f>IF(OR(I366="",J366="",U366=""),"",ABS(I366-J366)*U366)</f>
        <v/>
      </c>
      <c r="AA366" s="113">
        <f>IF(OR(X366="",Z366="",Z366=0),"",X366/Z366)</f>
        <v/>
      </c>
      <c r="AB366" s="114">
        <f>IF(OR(I366="",J366="",K366="",I366=J366),"",ABS(K366-I366)/ABS(I366-J366))</f>
        <v/>
      </c>
      <c r="AC366" s="51">
        <f>IF(OR(B366="",D366="",H366="",I366=""),"",IF(L366="","Ouvert",IF(X366&gt;0,"Gagné",IF(X366&lt;0,"Perdu","Neutre"))))</f>
        <v/>
      </c>
      <c r="AD366" s="115">
        <f>IF(X366="","",IF(C366="",B366,C366))</f>
        <v/>
      </c>
      <c r="AE366" s="109">
        <f>IF(B366="","",WEEKDAY(B366,2))</f>
        <v/>
      </c>
      <c r="AF366" s="112">
        <f>IF(X366="","",'Paramètres'!$C$9+SUM($X$6:X366))</f>
        <v/>
      </c>
      <c r="AG366" s="112">
        <f>IF(AF366="","",MAX('Paramètres'!$C$9,MAX($AF$6:AF366)))</f>
        <v/>
      </c>
      <c r="AH366" s="116">
        <f>IF(AF366="","",AF366/AG366-1)</f>
        <v/>
      </c>
      <c r="AI366" s="109">
        <f>IF(X366="","",IF(X366&gt;0,IF(N(AI365)&gt;0,N(AI365)+1,1),IF(X366&lt;0,IF(N(AI365)&lt;0,N(AI365)-1,-1),0)))</f>
        <v/>
      </c>
      <c r="AJ366" s="116">
        <f>IF(Z366="","",IFERROR(Z366/('Paramètres'!$C$9+SUM($X$5:X365)),""))</f>
        <v/>
      </c>
      <c r="AK366" s="109">
        <f>IF(AC366="Ouvert",COUNTIF($AC$6:AC366,"Ouvert"),"")</f>
        <v/>
      </c>
    </row>
    <row r="367" ht="19" customHeight="1">
      <c r="A367" s="104">
        <f>IF(B367="","",ROW()-5)</f>
        <v/>
      </c>
      <c r="B367" s="61" t="n"/>
      <c r="C367" s="61" t="n"/>
      <c r="D367" s="105" t="n"/>
      <c r="E367" s="49" t="n"/>
      <c r="F367" s="105" t="n"/>
      <c r="G367" s="49" t="n"/>
      <c r="H367" s="106" t="n"/>
      <c r="I367" s="107" t="n"/>
      <c r="J367" s="107" t="n"/>
      <c r="K367" s="107" t="n"/>
      <c r="L367" s="107" t="n"/>
      <c r="M367" s="106" t="n"/>
      <c r="N367" s="62" t="n"/>
      <c r="O367" s="49" t="n"/>
      <c r="P367" s="49" t="n"/>
      <c r="Q367" s="105" t="n"/>
      <c r="R367" s="105" t="n"/>
      <c r="S367" s="105" t="n"/>
      <c r="T367" s="105" t="n"/>
      <c r="U367" s="108">
        <f>IF(OR(H367="",I367="",I367=0),"",H367/I367)</f>
        <v/>
      </c>
      <c r="V367" s="109">
        <f>IF(OR(B367="",C367="",L367=""),"",MAX(0,C367-B367))</f>
        <v/>
      </c>
      <c r="W367" s="110">
        <f>IF(OR(L367="",U367=""),"",IF(E367="Short",(I367-L367)*U367,(L367-I367)*U367))</f>
        <v/>
      </c>
      <c r="X367" s="110">
        <f>IF(W367="","",W367-IF(M367="",0,M367))</f>
        <v/>
      </c>
      <c r="Y367" s="111">
        <f>IF(OR(X367="",H367="",H367=0),"",X367/H367)</f>
        <v/>
      </c>
      <c r="Z367" s="112">
        <f>IF(OR(I367="",J367="",U367=""),"",ABS(I367-J367)*U367)</f>
        <v/>
      </c>
      <c r="AA367" s="113">
        <f>IF(OR(X367="",Z367="",Z367=0),"",X367/Z367)</f>
        <v/>
      </c>
      <c r="AB367" s="114">
        <f>IF(OR(I367="",J367="",K367="",I367=J367),"",ABS(K367-I367)/ABS(I367-J367))</f>
        <v/>
      </c>
      <c r="AC367" s="51">
        <f>IF(OR(B367="",D367="",H367="",I367=""),"",IF(L367="","Ouvert",IF(X367&gt;0,"Gagné",IF(X367&lt;0,"Perdu","Neutre"))))</f>
        <v/>
      </c>
      <c r="AD367" s="115">
        <f>IF(X367="","",IF(C367="",B367,C367))</f>
        <v/>
      </c>
      <c r="AE367" s="109">
        <f>IF(B367="","",WEEKDAY(B367,2))</f>
        <v/>
      </c>
      <c r="AF367" s="112">
        <f>IF(X367="","",'Paramètres'!$C$9+SUM($X$6:X367))</f>
        <v/>
      </c>
      <c r="AG367" s="112">
        <f>IF(AF367="","",MAX('Paramètres'!$C$9,MAX($AF$6:AF367)))</f>
        <v/>
      </c>
      <c r="AH367" s="116">
        <f>IF(AF367="","",AF367/AG367-1)</f>
        <v/>
      </c>
      <c r="AI367" s="109">
        <f>IF(X367="","",IF(X367&gt;0,IF(N(AI366)&gt;0,N(AI366)+1,1),IF(X367&lt;0,IF(N(AI366)&lt;0,N(AI366)-1,-1),0)))</f>
        <v/>
      </c>
      <c r="AJ367" s="116">
        <f>IF(Z367="","",IFERROR(Z367/('Paramètres'!$C$9+SUM($X$5:X366)),""))</f>
        <v/>
      </c>
      <c r="AK367" s="109">
        <f>IF(AC367="Ouvert",COUNTIF($AC$6:AC367,"Ouvert"),"")</f>
        <v/>
      </c>
    </row>
    <row r="368" ht="19" customHeight="1">
      <c r="A368" s="104">
        <f>IF(B368="","",ROW()-5)</f>
        <v/>
      </c>
      <c r="B368" s="61" t="n"/>
      <c r="C368" s="61" t="n"/>
      <c r="D368" s="105" t="n"/>
      <c r="E368" s="49" t="n"/>
      <c r="F368" s="105" t="n"/>
      <c r="G368" s="49" t="n"/>
      <c r="H368" s="106" t="n"/>
      <c r="I368" s="107" t="n"/>
      <c r="J368" s="107" t="n"/>
      <c r="K368" s="107" t="n"/>
      <c r="L368" s="107" t="n"/>
      <c r="M368" s="106" t="n"/>
      <c r="N368" s="62" t="n"/>
      <c r="O368" s="49" t="n"/>
      <c r="P368" s="49" t="n"/>
      <c r="Q368" s="105" t="n"/>
      <c r="R368" s="105" t="n"/>
      <c r="S368" s="105" t="n"/>
      <c r="T368" s="105" t="n"/>
      <c r="U368" s="108">
        <f>IF(OR(H368="",I368="",I368=0),"",H368/I368)</f>
        <v/>
      </c>
      <c r="V368" s="109">
        <f>IF(OR(B368="",C368="",L368=""),"",MAX(0,C368-B368))</f>
        <v/>
      </c>
      <c r="W368" s="110">
        <f>IF(OR(L368="",U368=""),"",IF(E368="Short",(I368-L368)*U368,(L368-I368)*U368))</f>
        <v/>
      </c>
      <c r="X368" s="110">
        <f>IF(W368="","",W368-IF(M368="",0,M368))</f>
        <v/>
      </c>
      <c r="Y368" s="111">
        <f>IF(OR(X368="",H368="",H368=0),"",X368/H368)</f>
        <v/>
      </c>
      <c r="Z368" s="112">
        <f>IF(OR(I368="",J368="",U368=""),"",ABS(I368-J368)*U368)</f>
        <v/>
      </c>
      <c r="AA368" s="113">
        <f>IF(OR(X368="",Z368="",Z368=0),"",X368/Z368)</f>
        <v/>
      </c>
      <c r="AB368" s="114">
        <f>IF(OR(I368="",J368="",K368="",I368=J368),"",ABS(K368-I368)/ABS(I368-J368))</f>
        <v/>
      </c>
      <c r="AC368" s="51">
        <f>IF(OR(B368="",D368="",H368="",I368=""),"",IF(L368="","Ouvert",IF(X368&gt;0,"Gagné",IF(X368&lt;0,"Perdu","Neutre"))))</f>
        <v/>
      </c>
      <c r="AD368" s="115">
        <f>IF(X368="","",IF(C368="",B368,C368))</f>
        <v/>
      </c>
      <c r="AE368" s="109">
        <f>IF(B368="","",WEEKDAY(B368,2))</f>
        <v/>
      </c>
      <c r="AF368" s="112">
        <f>IF(X368="","",'Paramètres'!$C$9+SUM($X$6:X368))</f>
        <v/>
      </c>
      <c r="AG368" s="112">
        <f>IF(AF368="","",MAX('Paramètres'!$C$9,MAX($AF$6:AF368)))</f>
        <v/>
      </c>
      <c r="AH368" s="116">
        <f>IF(AF368="","",AF368/AG368-1)</f>
        <v/>
      </c>
      <c r="AI368" s="109">
        <f>IF(X368="","",IF(X368&gt;0,IF(N(AI367)&gt;0,N(AI367)+1,1),IF(X368&lt;0,IF(N(AI367)&lt;0,N(AI367)-1,-1),0)))</f>
        <v/>
      </c>
      <c r="AJ368" s="116">
        <f>IF(Z368="","",IFERROR(Z368/('Paramètres'!$C$9+SUM($X$5:X367)),""))</f>
        <v/>
      </c>
      <c r="AK368" s="109">
        <f>IF(AC368="Ouvert",COUNTIF($AC$6:AC368,"Ouvert"),"")</f>
        <v/>
      </c>
    </row>
    <row r="369" ht="19" customHeight="1">
      <c r="A369" s="104">
        <f>IF(B369="","",ROW()-5)</f>
        <v/>
      </c>
      <c r="B369" s="61" t="n"/>
      <c r="C369" s="61" t="n"/>
      <c r="D369" s="105" t="n"/>
      <c r="E369" s="49" t="n"/>
      <c r="F369" s="105" t="n"/>
      <c r="G369" s="49" t="n"/>
      <c r="H369" s="106" t="n"/>
      <c r="I369" s="107" t="n"/>
      <c r="J369" s="107" t="n"/>
      <c r="K369" s="107" t="n"/>
      <c r="L369" s="107" t="n"/>
      <c r="M369" s="106" t="n"/>
      <c r="N369" s="62" t="n"/>
      <c r="O369" s="49" t="n"/>
      <c r="P369" s="49" t="n"/>
      <c r="Q369" s="105" t="n"/>
      <c r="R369" s="105" t="n"/>
      <c r="S369" s="105" t="n"/>
      <c r="T369" s="105" t="n"/>
      <c r="U369" s="108">
        <f>IF(OR(H369="",I369="",I369=0),"",H369/I369)</f>
        <v/>
      </c>
      <c r="V369" s="109">
        <f>IF(OR(B369="",C369="",L369=""),"",MAX(0,C369-B369))</f>
        <v/>
      </c>
      <c r="W369" s="110">
        <f>IF(OR(L369="",U369=""),"",IF(E369="Short",(I369-L369)*U369,(L369-I369)*U369))</f>
        <v/>
      </c>
      <c r="X369" s="110">
        <f>IF(W369="","",W369-IF(M369="",0,M369))</f>
        <v/>
      </c>
      <c r="Y369" s="111">
        <f>IF(OR(X369="",H369="",H369=0),"",X369/H369)</f>
        <v/>
      </c>
      <c r="Z369" s="112">
        <f>IF(OR(I369="",J369="",U369=""),"",ABS(I369-J369)*U369)</f>
        <v/>
      </c>
      <c r="AA369" s="113">
        <f>IF(OR(X369="",Z369="",Z369=0),"",X369/Z369)</f>
        <v/>
      </c>
      <c r="AB369" s="114">
        <f>IF(OR(I369="",J369="",K369="",I369=J369),"",ABS(K369-I369)/ABS(I369-J369))</f>
        <v/>
      </c>
      <c r="AC369" s="51">
        <f>IF(OR(B369="",D369="",H369="",I369=""),"",IF(L369="","Ouvert",IF(X369&gt;0,"Gagné",IF(X369&lt;0,"Perdu","Neutre"))))</f>
        <v/>
      </c>
      <c r="AD369" s="115">
        <f>IF(X369="","",IF(C369="",B369,C369))</f>
        <v/>
      </c>
      <c r="AE369" s="109">
        <f>IF(B369="","",WEEKDAY(B369,2))</f>
        <v/>
      </c>
      <c r="AF369" s="112">
        <f>IF(X369="","",'Paramètres'!$C$9+SUM($X$6:X369))</f>
        <v/>
      </c>
      <c r="AG369" s="112">
        <f>IF(AF369="","",MAX('Paramètres'!$C$9,MAX($AF$6:AF369)))</f>
        <v/>
      </c>
      <c r="AH369" s="116">
        <f>IF(AF369="","",AF369/AG369-1)</f>
        <v/>
      </c>
      <c r="AI369" s="109">
        <f>IF(X369="","",IF(X369&gt;0,IF(N(AI368)&gt;0,N(AI368)+1,1),IF(X369&lt;0,IF(N(AI368)&lt;0,N(AI368)-1,-1),0)))</f>
        <v/>
      </c>
      <c r="AJ369" s="116">
        <f>IF(Z369="","",IFERROR(Z369/('Paramètres'!$C$9+SUM($X$5:X368)),""))</f>
        <v/>
      </c>
      <c r="AK369" s="109">
        <f>IF(AC369="Ouvert",COUNTIF($AC$6:AC369,"Ouvert"),"")</f>
        <v/>
      </c>
    </row>
    <row r="370" ht="19" customHeight="1">
      <c r="A370" s="104">
        <f>IF(B370="","",ROW()-5)</f>
        <v/>
      </c>
      <c r="B370" s="61" t="n"/>
      <c r="C370" s="61" t="n"/>
      <c r="D370" s="105" t="n"/>
      <c r="E370" s="49" t="n"/>
      <c r="F370" s="105" t="n"/>
      <c r="G370" s="49" t="n"/>
      <c r="H370" s="106" t="n"/>
      <c r="I370" s="107" t="n"/>
      <c r="J370" s="107" t="n"/>
      <c r="K370" s="107" t="n"/>
      <c r="L370" s="107" t="n"/>
      <c r="M370" s="106" t="n"/>
      <c r="N370" s="62" t="n"/>
      <c r="O370" s="49" t="n"/>
      <c r="P370" s="49" t="n"/>
      <c r="Q370" s="105" t="n"/>
      <c r="R370" s="105" t="n"/>
      <c r="S370" s="105" t="n"/>
      <c r="T370" s="105" t="n"/>
      <c r="U370" s="108">
        <f>IF(OR(H370="",I370="",I370=0),"",H370/I370)</f>
        <v/>
      </c>
      <c r="V370" s="109">
        <f>IF(OR(B370="",C370="",L370=""),"",MAX(0,C370-B370))</f>
        <v/>
      </c>
      <c r="W370" s="110">
        <f>IF(OR(L370="",U370=""),"",IF(E370="Short",(I370-L370)*U370,(L370-I370)*U370))</f>
        <v/>
      </c>
      <c r="X370" s="110">
        <f>IF(W370="","",W370-IF(M370="",0,M370))</f>
        <v/>
      </c>
      <c r="Y370" s="111">
        <f>IF(OR(X370="",H370="",H370=0),"",X370/H370)</f>
        <v/>
      </c>
      <c r="Z370" s="112">
        <f>IF(OR(I370="",J370="",U370=""),"",ABS(I370-J370)*U370)</f>
        <v/>
      </c>
      <c r="AA370" s="113">
        <f>IF(OR(X370="",Z370="",Z370=0),"",X370/Z370)</f>
        <v/>
      </c>
      <c r="AB370" s="114">
        <f>IF(OR(I370="",J370="",K370="",I370=J370),"",ABS(K370-I370)/ABS(I370-J370))</f>
        <v/>
      </c>
      <c r="AC370" s="51">
        <f>IF(OR(B370="",D370="",H370="",I370=""),"",IF(L370="","Ouvert",IF(X370&gt;0,"Gagné",IF(X370&lt;0,"Perdu","Neutre"))))</f>
        <v/>
      </c>
      <c r="AD370" s="115">
        <f>IF(X370="","",IF(C370="",B370,C370))</f>
        <v/>
      </c>
      <c r="AE370" s="109">
        <f>IF(B370="","",WEEKDAY(B370,2))</f>
        <v/>
      </c>
      <c r="AF370" s="112">
        <f>IF(X370="","",'Paramètres'!$C$9+SUM($X$6:X370))</f>
        <v/>
      </c>
      <c r="AG370" s="112">
        <f>IF(AF370="","",MAX('Paramètres'!$C$9,MAX($AF$6:AF370)))</f>
        <v/>
      </c>
      <c r="AH370" s="116">
        <f>IF(AF370="","",AF370/AG370-1)</f>
        <v/>
      </c>
      <c r="AI370" s="109">
        <f>IF(X370="","",IF(X370&gt;0,IF(N(AI369)&gt;0,N(AI369)+1,1),IF(X370&lt;0,IF(N(AI369)&lt;0,N(AI369)-1,-1),0)))</f>
        <v/>
      </c>
      <c r="AJ370" s="116">
        <f>IF(Z370="","",IFERROR(Z370/('Paramètres'!$C$9+SUM($X$5:X369)),""))</f>
        <v/>
      </c>
      <c r="AK370" s="109">
        <f>IF(AC370="Ouvert",COUNTIF($AC$6:AC370,"Ouvert"),"")</f>
        <v/>
      </c>
    </row>
    <row r="371" ht="19" customHeight="1">
      <c r="A371" s="104">
        <f>IF(B371="","",ROW()-5)</f>
        <v/>
      </c>
      <c r="B371" s="61" t="n"/>
      <c r="C371" s="61" t="n"/>
      <c r="D371" s="105" t="n"/>
      <c r="E371" s="49" t="n"/>
      <c r="F371" s="105" t="n"/>
      <c r="G371" s="49" t="n"/>
      <c r="H371" s="106" t="n"/>
      <c r="I371" s="107" t="n"/>
      <c r="J371" s="107" t="n"/>
      <c r="K371" s="107" t="n"/>
      <c r="L371" s="107" t="n"/>
      <c r="M371" s="106" t="n"/>
      <c r="N371" s="62" t="n"/>
      <c r="O371" s="49" t="n"/>
      <c r="P371" s="49" t="n"/>
      <c r="Q371" s="105" t="n"/>
      <c r="R371" s="105" t="n"/>
      <c r="S371" s="105" t="n"/>
      <c r="T371" s="105" t="n"/>
      <c r="U371" s="108">
        <f>IF(OR(H371="",I371="",I371=0),"",H371/I371)</f>
        <v/>
      </c>
      <c r="V371" s="109">
        <f>IF(OR(B371="",C371="",L371=""),"",MAX(0,C371-B371))</f>
        <v/>
      </c>
      <c r="W371" s="110">
        <f>IF(OR(L371="",U371=""),"",IF(E371="Short",(I371-L371)*U371,(L371-I371)*U371))</f>
        <v/>
      </c>
      <c r="X371" s="110">
        <f>IF(W371="","",W371-IF(M371="",0,M371))</f>
        <v/>
      </c>
      <c r="Y371" s="111">
        <f>IF(OR(X371="",H371="",H371=0),"",X371/H371)</f>
        <v/>
      </c>
      <c r="Z371" s="112">
        <f>IF(OR(I371="",J371="",U371=""),"",ABS(I371-J371)*U371)</f>
        <v/>
      </c>
      <c r="AA371" s="113">
        <f>IF(OR(X371="",Z371="",Z371=0),"",X371/Z371)</f>
        <v/>
      </c>
      <c r="AB371" s="114">
        <f>IF(OR(I371="",J371="",K371="",I371=J371),"",ABS(K371-I371)/ABS(I371-J371))</f>
        <v/>
      </c>
      <c r="AC371" s="51">
        <f>IF(OR(B371="",D371="",H371="",I371=""),"",IF(L371="","Ouvert",IF(X371&gt;0,"Gagné",IF(X371&lt;0,"Perdu","Neutre"))))</f>
        <v/>
      </c>
      <c r="AD371" s="115">
        <f>IF(X371="","",IF(C371="",B371,C371))</f>
        <v/>
      </c>
      <c r="AE371" s="109">
        <f>IF(B371="","",WEEKDAY(B371,2))</f>
        <v/>
      </c>
      <c r="AF371" s="112">
        <f>IF(X371="","",'Paramètres'!$C$9+SUM($X$6:X371))</f>
        <v/>
      </c>
      <c r="AG371" s="112">
        <f>IF(AF371="","",MAX('Paramètres'!$C$9,MAX($AF$6:AF371)))</f>
        <v/>
      </c>
      <c r="AH371" s="116">
        <f>IF(AF371="","",AF371/AG371-1)</f>
        <v/>
      </c>
      <c r="AI371" s="109">
        <f>IF(X371="","",IF(X371&gt;0,IF(N(AI370)&gt;0,N(AI370)+1,1),IF(X371&lt;0,IF(N(AI370)&lt;0,N(AI370)-1,-1),0)))</f>
        <v/>
      </c>
      <c r="AJ371" s="116">
        <f>IF(Z371="","",IFERROR(Z371/('Paramètres'!$C$9+SUM($X$5:X370)),""))</f>
        <v/>
      </c>
      <c r="AK371" s="109">
        <f>IF(AC371="Ouvert",COUNTIF($AC$6:AC371,"Ouvert"),"")</f>
        <v/>
      </c>
    </row>
    <row r="372" ht="19" customHeight="1">
      <c r="A372" s="104">
        <f>IF(B372="","",ROW()-5)</f>
        <v/>
      </c>
      <c r="B372" s="61" t="n"/>
      <c r="C372" s="61" t="n"/>
      <c r="D372" s="105" t="n"/>
      <c r="E372" s="49" t="n"/>
      <c r="F372" s="105" t="n"/>
      <c r="G372" s="49" t="n"/>
      <c r="H372" s="106" t="n"/>
      <c r="I372" s="107" t="n"/>
      <c r="J372" s="107" t="n"/>
      <c r="K372" s="107" t="n"/>
      <c r="L372" s="107" t="n"/>
      <c r="M372" s="106" t="n"/>
      <c r="N372" s="62" t="n"/>
      <c r="O372" s="49" t="n"/>
      <c r="P372" s="49" t="n"/>
      <c r="Q372" s="105" t="n"/>
      <c r="R372" s="105" t="n"/>
      <c r="S372" s="105" t="n"/>
      <c r="T372" s="105" t="n"/>
      <c r="U372" s="108">
        <f>IF(OR(H372="",I372="",I372=0),"",H372/I372)</f>
        <v/>
      </c>
      <c r="V372" s="109">
        <f>IF(OR(B372="",C372="",L372=""),"",MAX(0,C372-B372))</f>
        <v/>
      </c>
      <c r="W372" s="110">
        <f>IF(OR(L372="",U372=""),"",IF(E372="Short",(I372-L372)*U372,(L372-I372)*U372))</f>
        <v/>
      </c>
      <c r="X372" s="110">
        <f>IF(W372="","",W372-IF(M372="",0,M372))</f>
        <v/>
      </c>
      <c r="Y372" s="111">
        <f>IF(OR(X372="",H372="",H372=0),"",X372/H372)</f>
        <v/>
      </c>
      <c r="Z372" s="112">
        <f>IF(OR(I372="",J372="",U372=""),"",ABS(I372-J372)*U372)</f>
        <v/>
      </c>
      <c r="AA372" s="113">
        <f>IF(OR(X372="",Z372="",Z372=0),"",X372/Z372)</f>
        <v/>
      </c>
      <c r="AB372" s="114">
        <f>IF(OR(I372="",J372="",K372="",I372=J372),"",ABS(K372-I372)/ABS(I372-J372))</f>
        <v/>
      </c>
      <c r="AC372" s="51">
        <f>IF(OR(B372="",D372="",H372="",I372=""),"",IF(L372="","Ouvert",IF(X372&gt;0,"Gagné",IF(X372&lt;0,"Perdu","Neutre"))))</f>
        <v/>
      </c>
      <c r="AD372" s="115">
        <f>IF(X372="","",IF(C372="",B372,C372))</f>
        <v/>
      </c>
      <c r="AE372" s="109">
        <f>IF(B372="","",WEEKDAY(B372,2))</f>
        <v/>
      </c>
      <c r="AF372" s="112">
        <f>IF(X372="","",'Paramètres'!$C$9+SUM($X$6:X372))</f>
        <v/>
      </c>
      <c r="AG372" s="112">
        <f>IF(AF372="","",MAX('Paramètres'!$C$9,MAX($AF$6:AF372)))</f>
        <v/>
      </c>
      <c r="AH372" s="116">
        <f>IF(AF372="","",AF372/AG372-1)</f>
        <v/>
      </c>
      <c r="AI372" s="109">
        <f>IF(X372="","",IF(X372&gt;0,IF(N(AI371)&gt;0,N(AI371)+1,1),IF(X372&lt;0,IF(N(AI371)&lt;0,N(AI371)-1,-1),0)))</f>
        <v/>
      </c>
      <c r="AJ372" s="116">
        <f>IF(Z372="","",IFERROR(Z372/('Paramètres'!$C$9+SUM($X$5:X371)),""))</f>
        <v/>
      </c>
      <c r="AK372" s="109">
        <f>IF(AC372="Ouvert",COUNTIF($AC$6:AC372,"Ouvert"),"")</f>
        <v/>
      </c>
    </row>
    <row r="373" ht="19" customHeight="1">
      <c r="A373" s="104">
        <f>IF(B373="","",ROW()-5)</f>
        <v/>
      </c>
      <c r="B373" s="61" t="n"/>
      <c r="C373" s="61" t="n"/>
      <c r="D373" s="105" t="n"/>
      <c r="E373" s="49" t="n"/>
      <c r="F373" s="105" t="n"/>
      <c r="G373" s="49" t="n"/>
      <c r="H373" s="106" t="n"/>
      <c r="I373" s="107" t="n"/>
      <c r="J373" s="107" t="n"/>
      <c r="K373" s="107" t="n"/>
      <c r="L373" s="107" t="n"/>
      <c r="M373" s="106" t="n"/>
      <c r="N373" s="62" t="n"/>
      <c r="O373" s="49" t="n"/>
      <c r="P373" s="49" t="n"/>
      <c r="Q373" s="105" t="n"/>
      <c r="R373" s="105" t="n"/>
      <c r="S373" s="105" t="n"/>
      <c r="T373" s="105" t="n"/>
      <c r="U373" s="108">
        <f>IF(OR(H373="",I373="",I373=0),"",H373/I373)</f>
        <v/>
      </c>
      <c r="V373" s="109">
        <f>IF(OR(B373="",C373="",L373=""),"",MAX(0,C373-B373))</f>
        <v/>
      </c>
      <c r="W373" s="110">
        <f>IF(OR(L373="",U373=""),"",IF(E373="Short",(I373-L373)*U373,(L373-I373)*U373))</f>
        <v/>
      </c>
      <c r="X373" s="110">
        <f>IF(W373="","",W373-IF(M373="",0,M373))</f>
        <v/>
      </c>
      <c r="Y373" s="111">
        <f>IF(OR(X373="",H373="",H373=0),"",X373/H373)</f>
        <v/>
      </c>
      <c r="Z373" s="112">
        <f>IF(OR(I373="",J373="",U373=""),"",ABS(I373-J373)*U373)</f>
        <v/>
      </c>
      <c r="AA373" s="113">
        <f>IF(OR(X373="",Z373="",Z373=0),"",X373/Z373)</f>
        <v/>
      </c>
      <c r="AB373" s="114">
        <f>IF(OR(I373="",J373="",K373="",I373=J373),"",ABS(K373-I373)/ABS(I373-J373))</f>
        <v/>
      </c>
      <c r="AC373" s="51">
        <f>IF(OR(B373="",D373="",H373="",I373=""),"",IF(L373="","Ouvert",IF(X373&gt;0,"Gagné",IF(X373&lt;0,"Perdu","Neutre"))))</f>
        <v/>
      </c>
      <c r="AD373" s="115">
        <f>IF(X373="","",IF(C373="",B373,C373))</f>
        <v/>
      </c>
      <c r="AE373" s="109">
        <f>IF(B373="","",WEEKDAY(B373,2))</f>
        <v/>
      </c>
      <c r="AF373" s="112">
        <f>IF(X373="","",'Paramètres'!$C$9+SUM($X$6:X373))</f>
        <v/>
      </c>
      <c r="AG373" s="112">
        <f>IF(AF373="","",MAX('Paramètres'!$C$9,MAX($AF$6:AF373)))</f>
        <v/>
      </c>
      <c r="AH373" s="116">
        <f>IF(AF373="","",AF373/AG373-1)</f>
        <v/>
      </c>
      <c r="AI373" s="109">
        <f>IF(X373="","",IF(X373&gt;0,IF(N(AI372)&gt;0,N(AI372)+1,1),IF(X373&lt;0,IF(N(AI372)&lt;0,N(AI372)-1,-1),0)))</f>
        <v/>
      </c>
      <c r="AJ373" s="116">
        <f>IF(Z373="","",IFERROR(Z373/('Paramètres'!$C$9+SUM($X$5:X372)),""))</f>
        <v/>
      </c>
      <c r="AK373" s="109">
        <f>IF(AC373="Ouvert",COUNTIF($AC$6:AC373,"Ouvert"),"")</f>
        <v/>
      </c>
    </row>
    <row r="374" ht="19" customHeight="1">
      <c r="A374" s="104">
        <f>IF(B374="","",ROW()-5)</f>
        <v/>
      </c>
      <c r="B374" s="61" t="n"/>
      <c r="C374" s="61" t="n"/>
      <c r="D374" s="105" t="n"/>
      <c r="E374" s="49" t="n"/>
      <c r="F374" s="105" t="n"/>
      <c r="G374" s="49" t="n"/>
      <c r="H374" s="106" t="n"/>
      <c r="I374" s="107" t="n"/>
      <c r="J374" s="107" t="n"/>
      <c r="K374" s="107" t="n"/>
      <c r="L374" s="107" t="n"/>
      <c r="M374" s="106" t="n"/>
      <c r="N374" s="62" t="n"/>
      <c r="O374" s="49" t="n"/>
      <c r="P374" s="49" t="n"/>
      <c r="Q374" s="105" t="n"/>
      <c r="R374" s="105" t="n"/>
      <c r="S374" s="105" t="n"/>
      <c r="T374" s="105" t="n"/>
      <c r="U374" s="108">
        <f>IF(OR(H374="",I374="",I374=0),"",H374/I374)</f>
        <v/>
      </c>
      <c r="V374" s="109">
        <f>IF(OR(B374="",C374="",L374=""),"",MAX(0,C374-B374))</f>
        <v/>
      </c>
      <c r="W374" s="110">
        <f>IF(OR(L374="",U374=""),"",IF(E374="Short",(I374-L374)*U374,(L374-I374)*U374))</f>
        <v/>
      </c>
      <c r="X374" s="110">
        <f>IF(W374="","",W374-IF(M374="",0,M374))</f>
        <v/>
      </c>
      <c r="Y374" s="111">
        <f>IF(OR(X374="",H374="",H374=0),"",X374/H374)</f>
        <v/>
      </c>
      <c r="Z374" s="112">
        <f>IF(OR(I374="",J374="",U374=""),"",ABS(I374-J374)*U374)</f>
        <v/>
      </c>
      <c r="AA374" s="113">
        <f>IF(OR(X374="",Z374="",Z374=0),"",X374/Z374)</f>
        <v/>
      </c>
      <c r="AB374" s="114">
        <f>IF(OR(I374="",J374="",K374="",I374=J374),"",ABS(K374-I374)/ABS(I374-J374))</f>
        <v/>
      </c>
      <c r="AC374" s="51">
        <f>IF(OR(B374="",D374="",H374="",I374=""),"",IF(L374="","Ouvert",IF(X374&gt;0,"Gagné",IF(X374&lt;0,"Perdu","Neutre"))))</f>
        <v/>
      </c>
      <c r="AD374" s="115">
        <f>IF(X374="","",IF(C374="",B374,C374))</f>
        <v/>
      </c>
      <c r="AE374" s="109">
        <f>IF(B374="","",WEEKDAY(B374,2))</f>
        <v/>
      </c>
      <c r="AF374" s="112">
        <f>IF(X374="","",'Paramètres'!$C$9+SUM($X$6:X374))</f>
        <v/>
      </c>
      <c r="AG374" s="112">
        <f>IF(AF374="","",MAX('Paramètres'!$C$9,MAX($AF$6:AF374)))</f>
        <v/>
      </c>
      <c r="AH374" s="116">
        <f>IF(AF374="","",AF374/AG374-1)</f>
        <v/>
      </c>
      <c r="AI374" s="109">
        <f>IF(X374="","",IF(X374&gt;0,IF(N(AI373)&gt;0,N(AI373)+1,1),IF(X374&lt;0,IF(N(AI373)&lt;0,N(AI373)-1,-1),0)))</f>
        <v/>
      </c>
      <c r="AJ374" s="116">
        <f>IF(Z374="","",IFERROR(Z374/('Paramètres'!$C$9+SUM($X$5:X373)),""))</f>
        <v/>
      </c>
      <c r="AK374" s="109">
        <f>IF(AC374="Ouvert",COUNTIF($AC$6:AC374,"Ouvert"),"")</f>
        <v/>
      </c>
    </row>
    <row r="375" ht="19" customHeight="1">
      <c r="A375" s="104">
        <f>IF(B375="","",ROW()-5)</f>
        <v/>
      </c>
      <c r="B375" s="61" t="n"/>
      <c r="C375" s="61" t="n"/>
      <c r="D375" s="105" t="n"/>
      <c r="E375" s="49" t="n"/>
      <c r="F375" s="105" t="n"/>
      <c r="G375" s="49" t="n"/>
      <c r="H375" s="106" t="n"/>
      <c r="I375" s="107" t="n"/>
      <c r="J375" s="107" t="n"/>
      <c r="K375" s="107" t="n"/>
      <c r="L375" s="107" t="n"/>
      <c r="M375" s="106" t="n"/>
      <c r="N375" s="62" t="n"/>
      <c r="O375" s="49" t="n"/>
      <c r="P375" s="49" t="n"/>
      <c r="Q375" s="105" t="n"/>
      <c r="R375" s="105" t="n"/>
      <c r="S375" s="105" t="n"/>
      <c r="T375" s="105" t="n"/>
      <c r="U375" s="108">
        <f>IF(OR(H375="",I375="",I375=0),"",H375/I375)</f>
        <v/>
      </c>
      <c r="V375" s="109">
        <f>IF(OR(B375="",C375="",L375=""),"",MAX(0,C375-B375))</f>
        <v/>
      </c>
      <c r="W375" s="110">
        <f>IF(OR(L375="",U375=""),"",IF(E375="Short",(I375-L375)*U375,(L375-I375)*U375))</f>
        <v/>
      </c>
      <c r="X375" s="110">
        <f>IF(W375="","",W375-IF(M375="",0,M375))</f>
        <v/>
      </c>
      <c r="Y375" s="111">
        <f>IF(OR(X375="",H375="",H375=0),"",X375/H375)</f>
        <v/>
      </c>
      <c r="Z375" s="112">
        <f>IF(OR(I375="",J375="",U375=""),"",ABS(I375-J375)*U375)</f>
        <v/>
      </c>
      <c r="AA375" s="113">
        <f>IF(OR(X375="",Z375="",Z375=0),"",X375/Z375)</f>
        <v/>
      </c>
      <c r="AB375" s="114">
        <f>IF(OR(I375="",J375="",K375="",I375=J375),"",ABS(K375-I375)/ABS(I375-J375))</f>
        <v/>
      </c>
      <c r="AC375" s="51">
        <f>IF(OR(B375="",D375="",H375="",I375=""),"",IF(L375="","Ouvert",IF(X375&gt;0,"Gagné",IF(X375&lt;0,"Perdu","Neutre"))))</f>
        <v/>
      </c>
      <c r="AD375" s="115">
        <f>IF(X375="","",IF(C375="",B375,C375))</f>
        <v/>
      </c>
      <c r="AE375" s="109">
        <f>IF(B375="","",WEEKDAY(B375,2))</f>
        <v/>
      </c>
      <c r="AF375" s="112">
        <f>IF(X375="","",'Paramètres'!$C$9+SUM($X$6:X375))</f>
        <v/>
      </c>
      <c r="AG375" s="112">
        <f>IF(AF375="","",MAX('Paramètres'!$C$9,MAX($AF$6:AF375)))</f>
        <v/>
      </c>
      <c r="AH375" s="116">
        <f>IF(AF375="","",AF375/AG375-1)</f>
        <v/>
      </c>
      <c r="AI375" s="109">
        <f>IF(X375="","",IF(X375&gt;0,IF(N(AI374)&gt;0,N(AI374)+1,1),IF(X375&lt;0,IF(N(AI374)&lt;0,N(AI374)-1,-1),0)))</f>
        <v/>
      </c>
      <c r="AJ375" s="116">
        <f>IF(Z375="","",IFERROR(Z375/('Paramètres'!$C$9+SUM($X$5:X374)),""))</f>
        <v/>
      </c>
      <c r="AK375" s="109">
        <f>IF(AC375="Ouvert",COUNTIF($AC$6:AC375,"Ouvert"),"")</f>
        <v/>
      </c>
    </row>
    <row r="376" ht="19" customHeight="1">
      <c r="A376" s="104">
        <f>IF(B376="","",ROW()-5)</f>
        <v/>
      </c>
      <c r="B376" s="61" t="n"/>
      <c r="C376" s="61" t="n"/>
      <c r="D376" s="105" t="n"/>
      <c r="E376" s="49" t="n"/>
      <c r="F376" s="105" t="n"/>
      <c r="G376" s="49" t="n"/>
      <c r="H376" s="106" t="n"/>
      <c r="I376" s="107" t="n"/>
      <c r="J376" s="107" t="n"/>
      <c r="K376" s="107" t="n"/>
      <c r="L376" s="107" t="n"/>
      <c r="M376" s="106" t="n"/>
      <c r="N376" s="62" t="n"/>
      <c r="O376" s="49" t="n"/>
      <c r="P376" s="49" t="n"/>
      <c r="Q376" s="105" t="n"/>
      <c r="R376" s="105" t="n"/>
      <c r="S376" s="105" t="n"/>
      <c r="T376" s="105" t="n"/>
      <c r="U376" s="108">
        <f>IF(OR(H376="",I376="",I376=0),"",H376/I376)</f>
        <v/>
      </c>
      <c r="V376" s="109">
        <f>IF(OR(B376="",C376="",L376=""),"",MAX(0,C376-B376))</f>
        <v/>
      </c>
      <c r="W376" s="110">
        <f>IF(OR(L376="",U376=""),"",IF(E376="Short",(I376-L376)*U376,(L376-I376)*U376))</f>
        <v/>
      </c>
      <c r="X376" s="110">
        <f>IF(W376="","",W376-IF(M376="",0,M376))</f>
        <v/>
      </c>
      <c r="Y376" s="111">
        <f>IF(OR(X376="",H376="",H376=0),"",X376/H376)</f>
        <v/>
      </c>
      <c r="Z376" s="112">
        <f>IF(OR(I376="",J376="",U376=""),"",ABS(I376-J376)*U376)</f>
        <v/>
      </c>
      <c r="AA376" s="113">
        <f>IF(OR(X376="",Z376="",Z376=0),"",X376/Z376)</f>
        <v/>
      </c>
      <c r="AB376" s="114">
        <f>IF(OR(I376="",J376="",K376="",I376=J376),"",ABS(K376-I376)/ABS(I376-J376))</f>
        <v/>
      </c>
      <c r="AC376" s="51">
        <f>IF(OR(B376="",D376="",H376="",I376=""),"",IF(L376="","Ouvert",IF(X376&gt;0,"Gagné",IF(X376&lt;0,"Perdu","Neutre"))))</f>
        <v/>
      </c>
      <c r="AD376" s="115">
        <f>IF(X376="","",IF(C376="",B376,C376))</f>
        <v/>
      </c>
      <c r="AE376" s="109">
        <f>IF(B376="","",WEEKDAY(B376,2))</f>
        <v/>
      </c>
      <c r="AF376" s="112">
        <f>IF(X376="","",'Paramètres'!$C$9+SUM($X$6:X376))</f>
        <v/>
      </c>
      <c r="AG376" s="112">
        <f>IF(AF376="","",MAX('Paramètres'!$C$9,MAX($AF$6:AF376)))</f>
        <v/>
      </c>
      <c r="AH376" s="116">
        <f>IF(AF376="","",AF376/AG376-1)</f>
        <v/>
      </c>
      <c r="AI376" s="109">
        <f>IF(X376="","",IF(X376&gt;0,IF(N(AI375)&gt;0,N(AI375)+1,1),IF(X376&lt;0,IF(N(AI375)&lt;0,N(AI375)-1,-1),0)))</f>
        <v/>
      </c>
      <c r="AJ376" s="116">
        <f>IF(Z376="","",IFERROR(Z376/('Paramètres'!$C$9+SUM($X$5:X375)),""))</f>
        <v/>
      </c>
      <c r="AK376" s="109">
        <f>IF(AC376="Ouvert",COUNTIF($AC$6:AC376,"Ouvert"),"")</f>
        <v/>
      </c>
    </row>
    <row r="377" ht="19" customHeight="1">
      <c r="A377" s="104">
        <f>IF(B377="","",ROW()-5)</f>
        <v/>
      </c>
      <c r="B377" s="61" t="n"/>
      <c r="C377" s="61" t="n"/>
      <c r="D377" s="105" t="n"/>
      <c r="E377" s="49" t="n"/>
      <c r="F377" s="105" t="n"/>
      <c r="G377" s="49" t="n"/>
      <c r="H377" s="106" t="n"/>
      <c r="I377" s="107" t="n"/>
      <c r="J377" s="107" t="n"/>
      <c r="K377" s="107" t="n"/>
      <c r="L377" s="107" t="n"/>
      <c r="M377" s="106" t="n"/>
      <c r="N377" s="62" t="n"/>
      <c r="O377" s="49" t="n"/>
      <c r="P377" s="49" t="n"/>
      <c r="Q377" s="105" t="n"/>
      <c r="R377" s="105" t="n"/>
      <c r="S377" s="105" t="n"/>
      <c r="T377" s="105" t="n"/>
      <c r="U377" s="108">
        <f>IF(OR(H377="",I377="",I377=0),"",H377/I377)</f>
        <v/>
      </c>
      <c r="V377" s="109">
        <f>IF(OR(B377="",C377="",L377=""),"",MAX(0,C377-B377))</f>
        <v/>
      </c>
      <c r="W377" s="110">
        <f>IF(OR(L377="",U377=""),"",IF(E377="Short",(I377-L377)*U377,(L377-I377)*U377))</f>
        <v/>
      </c>
      <c r="X377" s="110">
        <f>IF(W377="","",W377-IF(M377="",0,M377))</f>
        <v/>
      </c>
      <c r="Y377" s="111">
        <f>IF(OR(X377="",H377="",H377=0),"",X377/H377)</f>
        <v/>
      </c>
      <c r="Z377" s="112">
        <f>IF(OR(I377="",J377="",U377=""),"",ABS(I377-J377)*U377)</f>
        <v/>
      </c>
      <c r="AA377" s="113">
        <f>IF(OR(X377="",Z377="",Z377=0),"",X377/Z377)</f>
        <v/>
      </c>
      <c r="AB377" s="114">
        <f>IF(OR(I377="",J377="",K377="",I377=J377),"",ABS(K377-I377)/ABS(I377-J377))</f>
        <v/>
      </c>
      <c r="AC377" s="51">
        <f>IF(OR(B377="",D377="",H377="",I377=""),"",IF(L377="","Ouvert",IF(X377&gt;0,"Gagné",IF(X377&lt;0,"Perdu","Neutre"))))</f>
        <v/>
      </c>
      <c r="AD377" s="115">
        <f>IF(X377="","",IF(C377="",B377,C377))</f>
        <v/>
      </c>
      <c r="AE377" s="109">
        <f>IF(B377="","",WEEKDAY(B377,2))</f>
        <v/>
      </c>
      <c r="AF377" s="112">
        <f>IF(X377="","",'Paramètres'!$C$9+SUM($X$6:X377))</f>
        <v/>
      </c>
      <c r="AG377" s="112">
        <f>IF(AF377="","",MAX('Paramètres'!$C$9,MAX($AF$6:AF377)))</f>
        <v/>
      </c>
      <c r="AH377" s="116">
        <f>IF(AF377="","",AF377/AG377-1)</f>
        <v/>
      </c>
      <c r="AI377" s="109">
        <f>IF(X377="","",IF(X377&gt;0,IF(N(AI376)&gt;0,N(AI376)+1,1),IF(X377&lt;0,IF(N(AI376)&lt;0,N(AI376)-1,-1),0)))</f>
        <v/>
      </c>
      <c r="AJ377" s="116">
        <f>IF(Z377="","",IFERROR(Z377/('Paramètres'!$C$9+SUM($X$5:X376)),""))</f>
        <v/>
      </c>
      <c r="AK377" s="109">
        <f>IF(AC377="Ouvert",COUNTIF($AC$6:AC377,"Ouvert"),"")</f>
        <v/>
      </c>
    </row>
    <row r="378" ht="19" customHeight="1">
      <c r="A378" s="104">
        <f>IF(B378="","",ROW()-5)</f>
        <v/>
      </c>
      <c r="B378" s="61" t="n"/>
      <c r="C378" s="61" t="n"/>
      <c r="D378" s="105" t="n"/>
      <c r="E378" s="49" t="n"/>
      <c r="F378" s="105" t="n"/>
      <c r="G378" s="49" t="n"/>
      <c r="H378" s="106" t="n"/>
      <c r="I378" s="107" t="n"/>
      <c r="J378" s="107" t="n"/>
      <c r="K378" s="107" t="n"/>
      <c r="L378" s="107" t="n"/>
      <c r="M378" s="106" t="n"/>
      <c r="N378" s="62" t="n"/>
      <c r="O378" s="49" t="n"/>
      <c r="P378" s="49" t="n"/>
      <c r="Q378" s="105" t="n"/>
      <c r="R378" s="105" t="n"/>
      <c r="S378" s="105" t="n"/>
      <c r="T378" s="105" t="n"/>
      <c r="U378" s="108">
        <f>IF(OR(H378="",I378="",I378=0),"",H378/I378)</f>
        <v/>
      </c>
      <c r="V378" s="109">
        <f>IF(OR(B378="",C378="",L378=""),"",MAX(0,C378-B378))</f>
        <v/>
      </c>
      <c r="W378" s="110">
        <f>IF(OR(L378="",U378=""),"",IF(E378="Short",(I378-L378)*U378,(L378-I378)*U378))</f>
        <v/>
      </c>
      <c r="X378" s="110">
        <f>IF(W378="","",W378-IF(M378="",0,M378))</f>
        <v/>
      </c>
      <c r="Y378" s="111">
        <f>IF(OR(X378="",H378="",H378=0),"",X378/H378)</f>
        <v/>
      </c>
      <c r="Z378" s="112">
        <f>IF(OR(I378="",J378="",U378=""),"",ABS(I378-J378)*U378)</f>
        <v/>
      </c>
      <c r="AA378" s="113">
        <f>IF(OR(X378="",Z378="",Z378=0),"",X378/Z378)</f>
        <v/>
      </c>
      <c r="AB378" s="114">
        <f>IF(OR(I378="",J378="",K378="",I378=J378),"",ABS(K378-I378)/ABS(I378-J378))</f>
        <v/>
      </c>
      <c r="AC378" s="51">
        <f>IF(OR(B378="",D378="",H378="",I378=""),"",IF(L378="","Ouvert",IF(X378&gt;0,"Gagné",IF(X378&lt;0,"Perdu","Neutre"))))</f>
        <v/>
      </c>
      <c r="AD378" s="115">
        <f>IF(X378="","",IF(C378="",B378,C378))</f>
        <v/>
      </c>
      <c r="AE378" s="109">
        <f>IF(B378="","",WEEKDAY(B378,2))</f>
        <v/>
      </c>
      <c r="AF378" s="112">
        <f>IF(X378="","",'Paramètres'!$C$9+SUM($X$6:X378))</f>
        <v/>
      </c>
      <c r="AG378" s="112">
        <f>IF(AF378="","",MAX('Paramètres'!$C$9,MAX($AF$6:AF378)))</f>
        <v/>
      </c>
      <c r="AH378" s="116">
        <f>IF(AF378="","",AF378/AG378-1)</f>
        <v/>
      </c>
      <c r="AI378" s="109">
        <f>IF(X378="","",IF(X378&gt;0,IF(N(AI377)&gt;0,N(AI377)+1,1),IF(X378&lt;0,IF(N(AI377)&lt;0,N(AI377)-1,-1),0)))</f>
        <v/>
      </c>
      <c r="AJ378" s="116">
        <f>IF(Z378="","",IFERROR(Z378/('Paramètres'!$C$9+SUM($X$5:X377)),""))</f>
        <v/>
      </c>
      <c r="AK378" s="109">
        <f>IF(AC378="Ouvert",COUNTIF($AC$6:AC378,"Ouvert"),"")</f>
        <v/>
      </c>
    </row>
    <row r="379" ht="19" customHeight="1">
      <c r="A379" s="104">
        <f>IF(B379="","",ROW()-5)</f>
        <v/>
      </c>
      <c r="B379" s="61" t="n"/>
      <c r="C379" s="61" t="n"/>
      <c r="D379" s="105" t="n"/>
      <c r="E379" s="49" t="n"/>
      <c r="F379" s="105" t="n"/>
      <c r="G379" s="49" t="n"/>
      <c r="H379" s="106" t="n"/>
      <c r="I379" s="107" t="n"/>
      <c r="J379" s="107" t="n"/>
      <c r="K379" s="107" t="n"/>
      <c r="L379" s="107" t="n"/>
      <c r="M379" s="106" t="n"/>
      <c r="N379" s="62" t="n"/>
      <c r="O379" s="49" t="n"/>
      <c r="P379" s="49" t="n"/>
      <c r="Q379" s="105" t="n"/>
      <c r="R379" s="105" t="n"/>
      <c r="S379" s="105" t="n"/>
      <c r="T379" s="105" t="n"/>
      <c r="U379" s="108">
        <f>IF(OR(H379="",I379="",I379=0),"",H379/I379)</f>
        <v/>
      </c>
      <c r="V379" s="109">
        <f>IF(OR(B379="",C379="",L379=""),"",MAX(0,C379-B379))</f>
        <v/>
      </c>
      <c r="W379" s="110">
        <f>IF(OR(L379="",U379=""),"",IF(E379="Short",(I379-L379)*U379,(L379-I379)*U379))</f>
        <v/>
      </c>
      <c r="X379" s="110">
        <f>IF(W379="","",W379-IF(M379="",0,M379))</f>
        <v/>
      </c>
      <c r="Y379" s="111">
        <f>IF(OR(X379="",H379="",H379=0),"",X379/H379)</f>
        <v/>
      </c>
      <c r="Z379" s="112">
        <f>IF(OR(I379="",J379="",U379=""),"",ABS(I379-J379)*U379)</f>
        <v/>
      </c>
      <c r="AA379" s="113">
        <f>IF(OR(X379="",Z379="",Z379=0),"",X379/Z379)</f>
        <v/>
      </c>
      <c r="AB379" s="114">
        <f>IF(OR(I379="",J379="",K379="",I379=J379),"",ABS(K379-I379)/ABS(I379-J379))</f>
        <v/>
      </c>
      <c r="AC379" s="51">
        <f>IF(OR(B379="",D379="",H379="",I379=""),"",IF(L379="","Ouvert",IF(X379&gt;0,"Gagné",IF(X379&lt;0,"Perdu","Neutre"))))</f>
        <v/>
      </c>
      <c r="AD379" s="115">
        <f>IF(X379="","",IF(C379="",B379,C379))</f>
        <v/>
      </c>
      <c r="AE379" s="109">
        <f>IF(B379="","",WEEKDAY(B379,2))</f>
        <v/>
      </c>
      <c r="AF379" s="112">
        <f>IF(X379="","",'Paramètres'!$C$9+SUM($X$6:X379))</f>
        <v/>
      </c>
      <c r="AG379" s="112">
        <f>IF(AF379="","",MAX('Paramètres'!$C$9,MAX($AF$6:AF379)))</f>
        <v/>
      </c>
      <c r="AH379" s="116">
        <f>IF(AF379="","",AF379/AG379-1)</f>
        <v/>
      </c>
      <c r="AI379" s="109">
        <f>IF(X379="","",IF(X379&gt;0,IF(N(AI378)&gt;0,N(AI378)+1,1),IF(X379&lt;0,IF(N(AI378)&lt;0,N(AI378)-1,-1),0)))</f>
        <v/>
      </c>
      <c r="AJ379" s="116">
        <f>IF(Z379="","",IFERROR(Z379/('Paramètres'!$C$9+SUM($X$5:X378)),""))</f>
        <v/>
      </c>
      <c r="AK379" s="109">
        <f>IF(AC379="Ouvert",COUNTIF($AC$6:AC379,"Ouvert"),"")</f>
        <v/>
      </c>
    </row>
    <row r="380" ht="19" customHeight="1">
      <c r="A380" s="104">
        <f>IF(B380="","",ROW()-5)</f>
        <v/>
      </c>
      <c r="B380" s="61" t="n"/>
      <c r="C380" s="61" t="n"/>
      <c r="D380" s="105" t="n"/>
      <c r="E380" s="49" t="n"/>
      <c r="F380" s="105" t="n"/>
      <c r="G380" s="49" t="n"/>
      <c r="H380" s="106" t="n"/>
      <c r="I380" s="107" t="n"/>
      <c r="J380" s="107" t="n"/>
      <c r="K380" s="107" t="n"/>
      <c r="L380" s="107" t="n"/>
      <c r="M380" s="106" t="n"/>
      <c r="N380" s="62" t="n"/>
      <c r="O380" s="49" t="n"/>
      <c r="P380" s="49" t="n"/>
      <c r="Q380" s="105" t="n"/>
      <c r="R380" s="105" t="n"/>
      <c r="S380" s="105" t="n"/>
      <c r="T380" s="105" t="n"/>
      <c r="U380" s="108">
        <f>IF(OR(H380="",I380="",I380=0),"",H380/I380)</f>
        <v/>
      </c>
      <c r="V380" s="109">
        <f>IF(OR(B380="",C380="",L380=""),"",MAX(0,C380-B380))</f>
        <v/>
      </c>
      <c r="W380" s="110">
        <f>IF(OR(L380="",U380=""),"",IF(E380="Short",(I380-L380)*U380,(L380-I380)*U380))</f>
        <v/>
      </c>
      <c r="X380" s="110">
        <f>IF(W380="","",W380-IF(M380="",0,M380))</f>
        <v/>
      </c>
      <c r="Y380" s="111">
        <f>IF(OR(X380="",H380="",H380=0),"",X380/H380)</f>
        <v/>
      </c>
      <c r="Z380" s="112">
        <f>IF(OR(I380="",J380="",U380=""),"",ABS(I380-J380)*U380)</f>
        <v/>
      </c>
      <c r="AA380" s="113">
        <f>IF(OR(X380="",Z380="",Z380=0),"",X380/Z380)</f>
        <v/>
      </c>
      <c r="AB380" s="114">
        <f>IF(OR(I380="",J380="",K380="",I380=J380),"",ABS(K380-I380)/ABS(I380-J380))</f>
        <v/>
      </c>
      <c r="AC380" s="51">
        <f>IF(OR(B380="",D380="",H380="",I380=""),"",IF(L380="","Ouvert",IF(X380&gt;0,"Gagné",IF(X380&lt;0,"Perdu","Neutre"))))</f>
        <v/>
      </c>
      <c r="AD380" s="115">
        <f>IF(X380="","",IF(C380="",B380,C380))</f>
        <v/>
      </c>
      <c r="AE380" s="109">
        <f>IF(B380="","",WEEKDAY(B380,2))</f>
        <v/>
      </c>
      <c r="AF380" s="112">
        <f>IF(X380="","",'Paramètres'!$C$9+SUM($X$6:X380))</f>
        <v/>
      </c>
      <c r="AG380" s="112">
        <f>IF(AF380="","",MAX('Paramètres'!$C$9,MAX($AF$6:AF380)))</f>
        <v/>
      </c>
      <c r="AH380" s="116">
        <f>IF(AF380="","",AF380/AG380-1)</f>
        <v/>
      </c>
      <c r="AI380" s="109">
        <f>IF(X380="","",IF(X380&gt;0,IF(N(AI379)&gt;0,N(AI379)+1,1),IF(X380&lt;0,IF(N(AI379)&lt;0,N(AI379)-1,-1),0)))</f>
        <v/>
      </c>
      <c r="AJ380" s="116">
        <f>IF(Z380="","",IFERROR(Z380/('Paramètres'!$C$9+SUM($X$5:X379)),""))</f>
        <v/>
      </c>
      <c r="AK380" s="109">
        <f>IF(AC380="Ouvert",COUNTIF($AC$6:AC380,"Ouvert"),"")</f>
        <v/>
      </c>
    </row>
    <row r="381" ht="19" customHeight="1">
      <c r="A381" s="104">
        <f>IF(B381="","",ROW()-5)</f>
        <v/>
      </c>
      <c r="B381" s="61" t="n"/>
      <c r="C381" s="61" t="n"/>
      <c r="D381" s="105" t="n"/>
      <c r="E381" s="49" t="n"/>
      <c r="F381" s="105" t="n"/>
      <c r="G381" s="49" t="n"/>
      <c r="H381" s="106" t="n"/>
      <c r="I381" s="107" t="n"/>
      <c r="J381" s="107" t="n"/>
      <c r="K381" s="107" t="n"/>
      <c r="L381" s="107" t="n"/>
      <c r="M381" s="106" t="n"/>
      <c r="N381" s="62" t="n"/>
      <c r="O381" s="49" t="n"/>
      <c r="P381" s="49" t="n"/>
      <c r="Q381" s="105" t="n"/>
      <c r="R381" s="105" t="n"/>
      <c r="S381" s="105" t="n"/>
      <c r="T381" s="105" t="n"/>
      <c r="U381" s="108">
        <f>IF(OR(H381="",I381="",I381=0),"",H381/I381)</f>
        <v/>
      </c>
      <c r="V381" s="109">
        <f>IF(OR(B381="",C381="",L381=""),"",MAX(0,C381-B381))</f>
        <v/>
      </c>
      <c r="W381" s="110">
        <f>IF(OR(L381="",U381=""),"",IF(E381="Short",(I381-L381)*U381,(L381-I381)*U381))</f>
        <v/>
      </c>
      <c r="X381" s="110">
        <f>IF(W381="","",W381-IF(M381="",0,M381))</f>
        <v/>
      </c>
      <c r="Y381" s="111">
        <f>IF(OR(X381="",H381="",H381=0),"",X381/H381)</f>
        <v/>
      </c>
      <c r="Z381" s="112">
        <f>IF(OR(I381="",J381="",U381=""),"",ABS(I381-J381)*U381)</f>
        <v/>
      </c>
      <c r="AA381" s="113">
        <f>IF(OR(X381="",Z381="",Z381=0),"",X381/Z381)</f>
        <v/>
      </c>
      <c r="AB381" s="114">
        <f>IF(OR(I381="",J381="",K381="",I381=J381),"",ABS(K381-I381)/ABS(I381-J381))</f>
        <v/>
      </c>
      <c r="AC381" s="51">
        <f>IF(OR(B381="",D381="",H381="",I381=""),"",IF(L381="","Ouvert",IF(X381&gt;0,"Gagné",IF(X381&lt;0,"Perdu","Neutre"))))</f>
        <v/>
      </c>
      <c r="AD381" s="115">
        <f>IF(X381="","",IF(C381="",B381,C381))</f>
        <v/>
      </c>
      <c r="AE381" s="109">
        <f>IF(B381="","",WEEKDAY(B381,2))</f>
        <v/>
      </c>
      <c r="AF381" s="112">
        <f>IF(X381="","",'Paramètres'!$C$9+SUM($X$6:X381))</f>
        <v/>
      </c>
      <c r="AG381" s="112">
        <f>IF(AF381="","",MAX('Paramètres'!$C$9,MAX($AF$6:AF381)))</f>
        <v/>
      </c>
      <c r="AH381" s="116">
        <f>IF(AF381="","",AF381/AG381-1)</f>
        <v/>
      </c>
      <c r="AI381" s="109">
        <f>IF(X381="","",IF(X381&gt;0,IF(N(AI380)&gt;0,N(AI380)+1,1),IF(X381&lt;0,IF(N(AI380)&lt;0,N(AI380)-1,-1),0)))</f>
        <v/>
      </c>
      <c r="AJ381" s="116">
        <f>IF(Z381="","",IFERROR(Z381/('Paramètres'!$C$9+SUM($X$5:X380)),""))</f>
        <v/>
      </c>
      <c r="AK381" s="109">
        <f>IF(AC381="Ouvert",COUNTIF($AC$6:AC381,"Ouvert"),"")</f>
        <v/>
      </c>
    </row>
    <row r="382" ht="19" customHeight="1">
      <c r="A382" s="104">
        <f>IF(B382="","",ROW()-5)</f>
        <v/>
      </c>
      <c r="B382" s="61" t="n"/>
      <c r="C382" s="61" t="n"/>
      <c r="D382" s="105" t="n"/>
      <c r="E382" s="49" t="n"/>
      <c r="F382" s="105" t="n"/>
      <c r="G382" s="49" t="n"/>
      <c r="H382" s="106" t="n"/>
      <c r="I382" s="107" t="n"/>
      <c r="J382" s="107" t="n"/>
      <c r="K382" s="107" t="n"/>
      <c r="L382" s="107" t="n"/>
      <c r="M382" s="106" t="n"/>
      <c r="N382" s="62" t="n"/>
      <c r="O382" s="49" t="n"/>
      <c r="P382" s="49" t="n"/>
      <c r="Q382" s="105" t="n"/>
      <c r="R382" s="105" t="n"/>
      <c r="S382" s="105" t="n"/>
      <c r="T382" s="105" t="n"/>
      <c r="U382" s="108">
        <f>IF(OR(H382="",I382="",I382=0),"",H382/I382)</f>
        <v/>
      </c>
      <c r="V382" s="109">
        <f>IF(OR(B382="",C382="",L382=""),"",MAX(0,C382-B382))</f>
        <v/>
      </c>
      <c r="W382" s="110">
        <f>IF(OR(L382="",U382=""),"",IF(E382="Short",(I382-L382)*U382,(L382-I382)*U382))</f>
        <v/>
      </c>
      <c r="X382" s="110">
        <f>IF(W382="","",W382-IF(M382="",0,M382))</f>
        <v/>
      </c>
      <c r="Y382" s="111">
        <f>IF(OR(X382="",H382="",H382=0),"",X382/H382)</f>
        <v/>
      </c>
      <c r="Z382" s="112">
        <f>IF(OR(I382="",J382="",U382=""),"",ABS(I382-J382)*U382)</f>
        <v/>
      </c>
      <c r="AA382" s="113">
        <f>IF(OR(X382="",Z382="",Z382=0),"",X382/Z382)</f>
        <v/>
      </c>
      <c r="AB382" s="114">
        <f>IF(OR(I382="",J382="",K382="",I382=J382),"",ABS(K382-I382)/ABS(I382-J382))</f>
        <v/>
      </c>
      <c r="AC382" s="51">
        <f>IF(OR(B382="",D382="",H382="",I382=""),"",IF(L382="","Ouvert",IF(X382&gt;0,"Gagné",IF(X382&lt;0,"Perdu","Neutre"))))</f>
        <v/>
      </c>
      <c r="AD382" s="115">
        <f>IF(X382="","",IF(C382="",B382,C382))</f>
        <v/>
      </c>
      <c r="AE382" s="109">
        <f>IF(B382="","",WEEKDAY(B382,2))</f>
        <v/>
      </c>
      <c r="AF382" s="112">
        <f>IF(X382="","",'Paramètres'!$C$9+SUM($X$6:X382))</f>
        <v/>
      </c>
      <c r="AG382" s="112">
        <f>IF(AF382="","",MAX('Paramètres'!$C$9,MAX($AF$6:AF382)))</f>
        <v/>
      </c>
      <c r="AH382" s="116">
        <f>IF(AF382="","",AF382/AG382-1)</f>
        <v/>
      </c>
      <c r="AI382" s="109">
        <f>IF(X382="","",IF(X382&gt;0,IF(N(AI381)&gt;0,N(AI381)+1,1),IF(X382&lt;0,IF(N(AI381)&lt;0,N(AI381)-1,-1),0)))</f>
        <v/>
      </c>
      <c r="AJ382" s="116">
        <f>IF(Z382="","",IFERROR(Z382/('Paramètres'!$C$9+SUM($X$5:X381)),""))</f>
        <v/>
      </c>
      <c r="AK382" s="109">
        <f>IF(AC382="Ouvert",COUNTIF($AC$6:AC382,"Ouvert"),"")</f>
        <v/>
      </c>
    </row>
    <row r="383" ht="19" customHeight="1">
      <c r="A383" s="104">
        <f>IF(B383="","",ROW()-5)</f>
        <v/>
      </c>
      <c r="B383" s="61" t="n"/>
      <c r="C383" s="61" t="n"/>
      <c r="D383" s="105" t="n"/>
      <c r="E383" s="49" t="n"/>
      <c r="F383" s="105" t="n"/>
      <c r="G383" s="49" t="n"/>
      <c r="H383" s="106" t="n"/>
      <c r="I383" s="107" t="n"/>
      <c r="J383" s="107" t="n"/>
      <c r="K383" s="107" t="n"/>
      <c r="L383" s="107" t="n"/>
      <c r="M383" s="106" t="n"/>
      <c r="N383" s="62" t="n"/>
      <c r="O383" s="49" t="n"/>
      <c r="P383" s="49" t="n"/>
      <c r="Q383" s="105" t="n"/>
      <c r="R383" s="105" t="n"/>
      <c r="S383" s="105" t="n"/>
      <c r="T383" s="105" t="n"/>
      <c r="U383" s="108">
        <f>IF(OR(H383="",I383="",I383=0),"",H383/I383)</f>
        <v/>
      </c>
      <c r="V383" s="109">
        <f>IF(OR(B383="",C383="",L383=""),"",MAX(0,C383-B383))</f>
        <v/>
      </c>
      <c r="W383" s="110">
        <f>IF(OR(L383="",U383=""),"",IF(E383="Short",(I383-L383)*U383,(L383-I383)*U383))</f>
        <v/>
      </c>
      <c r="X383" s="110">
        <f>IF(W383="","",W383-IF(M383="",0,M383))</f>
        <v/>
      </c>
      <c r="Y383" s="111">
        <f>IF(OR(X383="",H383="",H383=0),"",X383/H383)</f>
        <v/>
      </c>
      <c r="Z383" s="112">
        <f>IF(OR(I383="",J383="",U383=""),"",ABS(I383-J383)*U383)</f>
        <v/>
      </c>
      <c r="AA383" s="113">
        <f>IF(OR(X383="",Z383="",Z383=0),"",X383/Z383)</f>
        <v/>
      </c>
      <c r="AB383" s="114">
        <f>IF(OR(I383="",J383="",K383="",I383=J383),"",ABS(K383-I383)/ABS(I383-J383))</f>
        <v/>
      </c>
      <c r="AC383" s="51">
        <f>IF(OR(B383="",D383="",H383="",I383=""),"",IF(L383="","Ouvert",IF(X383&gt;0,"Gagné",IF(X383&lt;0,"Perdu","Neutre"))))</f>
        <v/>
      </c>
      <c r="AD383" s="115">
        <f>IF(X383="","",IF(C383="",B383,C383))</f>
        <v/>
      </c>
      <c r="AE383" s="109">
        <f>IF(B383="","",WEEKDAY(B383,2))</f>
        <v/>
      </c>
      <c r="AF383" s="112">
        <f>IF(X383="","",'Paramètres'!$C$9+SUM($X$6:X383))</f>
        <v/>
      </c>
      <c r="AG383" s="112">
        <f>IF(AF383="","",MAX('Paramètres'!$C$9,MAX($AF$6:AF383)))</f>
        <v/>
      </c>
      <c r="AH383" s="116">
        <f>IF(AF383="","",AF383/AG383-1)</f>
        <v/>
      </c>
      <c r="AI383" s="109">
        <f>IF(X383="","",IF(X383&gt;0,IF(N(AI382)&gt;0,N(AI382)+1,1),IF(X383&lt;0,IF(N(AI382)&lt;0,N(AI382)-1,-1),0)))</f>
        <v/>
      </c>
      <c r="AJ383" s="116">
        <f>IF(Z383="","",IFERROR(Z383/('Paramètres'!$C$9+SUM($X$5:X382)),""))</f>
        <v/>
      </c>
      <c r="AK383" s="109">
        <f>IF(AC383="Ouvert",COUNTIF($AC$6:AC383,"Ouvert"),"")</f>
        <v/>
      </c>
    </row>
    <row r="384" ht="19" customHeight="1">
      <c r="A384" s="104">
        <f>IF(B384="","",ROW()-5)</f>
        <v/>
      </c>
      <c r="B384" s="61" t="n"/>
      <c r="C384" s="61" t="n"/>
      <c r="D384" s="105" t="n"/>
      <c r="E384" s="49" t="n"/>
      <c r="F384" s="105" t="n"/>
      <c r="G384" s="49" t="n"/>
      <c r="H384" s="106" t="n"/>
      <c r="I384" s="107" t="n"/>
      <c r="J384" s="107" t="n"/>
      <c r="K384" s="107" t="n"/>
      <c r="L384" s="107" t="n"/>
      <c r="M384" s="106" t="n"/>
      <c r="N384" s="62" t="n"/>
      <c r="O384" s="49" t="n"/>
      <c r="P384" s="49" t="n"/>
      <c r="Q384" s="105" t="n"/>
      <c r="R384" s="105" t="n"/>
      <c r="S384" s="105" t="n"/>
      <c r="T384" s="105" t="n"/>
      <c r="U384" s="108">
        <f>IF(OR(H384="",I384="",I384=0),"",H384/I384)</f>
        <v/>
      </c>
      <c r="V384" s="109">
        <f>IF(OR(B384="",C384="",L384=""),"",MAX(0,C384-B384))</f>
        <v/>
      </c>
      <c r="W384" s="110">
        <f>IF(OR(L384="",U384=""),"",IF(E384="Short",(I384-L384)*U384,(L384-I384)*U384))</f>
        <v/>
      </c>
      <c r="X384" s="110">
        <f>IF(W384="","",W384-IF(M384="",0,M384))</f>
        <v/>
      </c>
      <c r="Y384" s="111">
        <f>IF(OR(X384="",H384="",H384=0),"",X384/H384)</f>
        <v/>
      </c>
      <c r="Z384" s="112">
        <f>IF(OR(I384="",J384="",U384=""),"",ABS(I384-J384)*U384)</f>
        <v/>
      </c>
      <c r="AA384" s="113">
        <f>IF(OR(X384="",Z384="",Z384=0),"",X384/Z384)</f>
        <v/>
      </c>
      <c r="AB384" s="114">
        <f>IF(OR(I384="",J384="",K384="",I384=J384),"",ABS(K384-I384)/ABS(I384-J384))</f>
        <v/>
      </c>
      <c r="AC384" s="51">
        <f>IF(OR(B384="",D384="",H384="",I384=""),"",IF(L384="","Ouvert",IF(X384&gt;0,"Gagné",IF(X384&lt;0,"Perdu","Neutre"))))</f>
        <v/>
      </c>
      <c r="AD384" s="115">
        <f>IF(X384="","",IF(C384="",B384,C384))</f>
        <v/>
      </c>
      <c r="AE384" s="109">
        <f>IF(B384="","",WEEKDAY(B384,2))</f>
        <v/>
      </c>
      <c r="AF384" s="112">
        <f>IF(X384="","",'Paramètres'!$C$9+SUM($X$6:X384))</f>
        <v/>
      </c>
      <c r="AG384" s="112">
        <f>IF(AF384="","",MAX('Paramètres'!$C$9,MAX($AF$6:AF384)))</f>
        <v/>
      </c>
      <c r="AH384" s="116">
        <f>IF(AF384="","",AF384/AG384-1)</f>
        <v/>
      </c>
      <c r="AI384" s="109">
        <f>IF(X384="","",IF(X384&gt;0,IF(N(AI383)&gt;0,N(AI383)+1,1),IF(X384&lt;0,IF(N(AI383)&lt;0,N(AI383)-1,-1),0)))</f>
        <v/>
      </c>
      <c r="AJ384" s="116">
        <f>IF(Z384="","",IFERROR(Z384/('Paramètres'!$C$9+SUM($X$5:X383)),""))</f>
        <v/>
      </c>
      <c r="AK384" s="109">
        <f>IF(AC384="Ouvert",COUNTIF($AC$6:AC384,"Ouvert"),"")</f>
        <v/>
      </c>
    </row>
    <row r="385" ht="19" customHeight="1">
      <c r="A385" s="104">
        <f>IF(B385="","",ROW()-5)</f>
        <v/>
      </c>
      <c r="B385" s="61" t="n"/>
      <c r="C385" s="61" t="n"/>
      <c r="D385" s="105" t="n"/>
      <c r="E385" s="49" t="n"/>
      <c r="F385" s="105" t="n"/>
      <c r="G385" s="49" t="n"/>
      <c r="H385" s="106" t="n"/>
      <c r="I385" s="107" t="n"/>
      <c r="J385" s="107" t="n"/>
      <c r="K385" s="107" t="n"/>
      <c r="L385" s="107" t="n"/>
      <c r="M385" s="106" t="n"/>
      <c r="N385" s="62" t="n"/>
      <c r="O385" s="49" t="n"/>
      <c r="P385" s="49" t="n"/>
      <c r="Q385" s="105" t="n"/>
      <c r="R385" s="105" t="n"/>
      <c r="S385" s="105" t="n"/>
      <c r="T385" s="105" t="n"/>
      <c r="U385" s="108">
        <f>IF(OR(H385="",I385="",I385=0),"",H385/I385)</f>
        <v/>
      </c>
      <c r="V385" s="109">
        <f>IF(OR(B385="",C385="",L385=""),"",MAX(0,C385-B385))</f>
        <v/>
      </c>
      <c r="W385" s="110">
        <f>IF(OR(L385="",U385=""),"",IF(E385="Short",(I385-L385)*U385,(L385-I385)*U385))</f>
        <v/>
      </c>
      <c r="X385" s="110">
        <f>IF(W385="","",W385-IF(M385="",0,M385))</f>
        <v/>
      </c>
      <c r="Y385" s="111">
        <f>IF(OR(X385="",H385="",H385=0),"",X385/H385)</f>
        <v/>
      </c>
      <c r="Z385" s="112">
        <f>IF(OR(I385="",J385="",U385=""),"",ABS(I385-J385)*U385)</f>
        <v/>
      </c>
      <c r="AA385" s="113">
        <f>IF(OR(X385="",Z385="",Z385=0),"",X385/Z385)</f>
        <v/>
      </c>
      <c r="AB385" s="114">
        <f>IF(OR(I385="",J385="",K385="",I385=J385),"",ABS(K385-I385)/ABS(I385-J385))</f>
        <v/>
      </c>
      <c r="AC385" s="51">
        <f>IF(OR(B385="",D385="",H385="",I385=""),"",IF(L385="","Ouvert",IF(X385&gt;0,"Gagné",IF(X385&lt;0,"Perdu","Neutre"))))</f>
        <v/>
      </c>
      <c r="AD385" s="115">
        <f>IF(X385="","",IF(C385="",B385,C385))</f>
        <v/>
      </c>
      <c r="AE385" s="109">
        <f>IF(B385="","",WEEKDAY(B385,2))</f>
        <v/>
      </c>
      <c r="AF385" s="112">
        <f>IF(X385="","",'Paramètres'!$C$9+SUM($X$6:X385))</f>
        <v/>
      </c>
      <c r="AG385" s="112">
        <f>IF(AF385="","",MAX('Paramètres'!$C$9,MAX($AF$6:AF385)))</f>
        <v/>
      </c>
      <c r="AH385" s="116">
        <f>IF(AF385="","",AF385/AG385-1)</f>
        <v/>
      </c>
      <c r="AI385" s="109">
        <f>IF(X385="","",IF(X385&gt;0,IF(N(AI384)&gt;0,N(AI384)+1,1),IF(X385&lt;0,IF(N(AI384)&lt;0,N(AI384)-1,-1),0)))</f>
        <v/>
      </c>
      <c r="AJ385" s="116">
        <f>IF(Z385="","",IFERROR(Z385/('Paramètres'!$C$9+SUM($X$5:X384)),""))</f>
        <v/>
      </c>
      <c r="AK385" s="109">
        <f>IF(AC385="Ouvert",COUNTIF($AC$6:AC385,"Ouvert"),"")</f>
        <v/>
      </c>
    </row>
    <row r="386" ht="19" customHeight="1">
      <c r="A386" s="104">
        <f>IF(B386="","",ROW()-5)</f>
        <v/>
      </c>
      <c r="B386" s="61" t="n"/>
      <c r="C386" s="61" t="n"/>
      <c r="D386" s="105" t="n"/>
      <c r="E386" s="49" t="n"/>
      <c r="F386" s="105" t="n"/>
      <c r="G386" s="49" t="n"/>
      <c r="H386" s="106" t="n"/>
      <c r="I386" s="107" t="n"/>
      <c r="J386" s="107" t="n"/>
      <c r="K386" s="107" t="n"/>
      <c r="L386" s="107" t="n"/>
      <c r="M386" s="106" t="n"/>
      <c r="N386" s="62" t="n"/>
      <c r="O386" s="49" t="n"/>
      <c r="P386" s="49" t="n"/>
      <c r="Q386" s="105" t="n"/>
      <c r="R386" s="105" t="n"/>
      <c r="S386" s="105" t="n"/>
      <c r="T386" s="105" t="n"/>
      <c r="U386" s="108">
        <f>IF(OR(H386="",I386="",I386=0),"",H386/I386)</f>
        <v/>
      </c>
      <c r="V386" s="109">
        <f>IF(OR(B386="",C386="",L386=""),"",MAX(0,C386-B386))</f>
        <v/>
      </c>
      <c r="W386" s="110">
        <f>IF(OR(L386="",U386=""),"",IF(E386="Short",(I386-L386)*U386,(L386-I386)*U386))</f>
        <v/>
      </c>
      <c r="X386" s="110">
        <f>IF(W386="","",W386-IF(M386="",0,M386))</f>
        <v/>
      </c>
      <c r="Y386" s="111">
        <f>IF(OR(X386="",H386="",H386=0),"",X386/H386)</f>
        <v/>
      </c>
      <c r="Z386" s="112">
        <f>IF(OR(I386="",J386="",U386=""),"",ABS(I386-J386)*U386)</f>
        <v/>
      </c>
      <c r="AA386" s="113">
        <f>IF(OR(X386="",Z386="",Z386=0),"",X386/Z386)</f>
        <v/>
      </c>
      <c r="AB386" s="114">
        <f>IF(OR(I386="",J386="",K386="",I386=J386),"",ABS(K386-I386)/ABS(I386-J386))</f>
        <v/>
      </c>
      <c r="AC386" s="51">
        <f>IF(OR(B386="",D386="",H386="",I386=""),"",IF(L386="","Ouvert",IF(X386&gt;0,"Gagné",IF(X386&lt;0,"Perdu","Neutre"))))</f>
        <v/>
      </c>
      <c r="AD386" s="115">
        <f>IF(X386="","",IF(C386="",B386,C386))</f>
        <v/>
      </c>
      <c r="AE386" s="109">
        <f>IF(B386="","",WEEKDAY(B386,2))</f>
        <v/>
      </c>
      <c r="AF386" s="112">
        <f>IF(X386="","",'Paramètres'!$C$9+SUM($X$6:X386))</f>
        <v/>
      </c>
      <c r="AG386" s="112">
        <f>IF(AF386="","",MAX('Paramètres'!$C$9,MAX($AF$6:AF386)))</f>
        <v/>
      </c>
      <c r="AH386" s="116">
        <f>IF(AF386="","",AF386/AG386-1)</f>
        <v/>
      </c>
      <c r="AI386" s="109">
        <f>IF(X386="","",IF(X386&gt;0,IF(N(AI385)&gt;0,N(AI385)+1,1),IF(X386&lt;0,IF(N(AI385)&lt;0,N(AI385)-1,-1),0)))</f>
        <v/>
      </c>
      <c r="AJ386" s="116">
        <f>IF(Z386="","",IFERROR(Z386/('Paramètres'!$C$9+SUM($X$5:X385)),""))</f>
        <v/>
      </c>
      <c r="AK386" s="109">
        <f>IF(AC386="Ouvert",COUNTIF($AC$6:AC386,"Ouvert"),"")</f>
        <v/>
      </c>
    </row>
    <row r="387" ht="19" customHeight="1">
      <c r="A387" s="104">
        <f>IF(B387="","",ROW()-5)</f>
        <v/>
      </c>
      <c r="B387" s="61" t="n"/>
      <c r="C387" s="61" t="n"/>
      <c r="D387" s="105" t="n"/>
      <c r="E387" s="49" t="n"/>
      <c r="F387" s="105" t="n"/>
      <c r="G387" s="49" t="n"/>
      <c r="H387" s="106" t="n"/>
      <c r="I387" s="107" t="n"/>
      <c r="J387" s="107" t="n"/>
      <c r="K387" s="107" t="n"/>
      <c r="L387" s="107" t="n"/>
      <c r="M387" s="106" t="n"/>
      <c r="N387" s="62" t="n"/>
      <c r="O387" s="49" t="n"/>
      <c r="P387" s="49" t="n"/>
      <c r="Q387" s="105" t="n"/>
      <c r="R387" s="105" t="n"/>
      <c r="S387" s="105" t="n"/>
      <c r="T387" s="105" t="n"/>
      <c r="U387" s="108">
        <f>IF(OR(H387="",I387="",I387=0),"",H387/I387)</f>
        <v/>
      </c>
      <c r="V387" s="109">
        <f>IF(OR(B387="",C387="",L387=""),"",MAX(0,C387-B387))</f>
        <v/>
      </c>
      <c r="W387" s="110">
        <f>IF(OR(L387="",U387=""),"",IF(E387="Short",(I387-L387)*U387,(L387-I387)*U387))</f>
        <v/>
      </c>
      <c r="X387" s="110">
        <f>IF(W387="","",W387-IF(M387="",0,M387))</f>
        <v/>
      </c>
      <c r="Y387" s="111">
        <f>IF(OR(X387="",H387="",H387=0),"",X387/H387)</f>
        <v/>
      </c>
      <c r="Z387" s="112">
        <f>IF(OR(I387="",J387="",U387=""),"",ABS(I387-J387)*U387)</f>
        <v/>
      </c>
      <c r="AA387" s="113">
        <f>IF(OR(X387="",Z387="",Z387=0),"",X387/Z387)</f>
        <v/>
      </c>
      <c r="AB387" s="114">
        <f>IF(OR(I387="",J387="",K387="",I387=J387),"",ABS(K387-I387)/ABS(I387-J387))</f>
        <v/>
      </c>
      <c r="AC387" s="51">
        <f>IF(OR(B387="",D387="",H387="",I387=""),"",IF(L387="","Ouvert",IF(X387&gt;0,"Gagné",IF(X387&lt;0,"Perdu","Neutre"))))</f>
        <v/>
      </c>
      <c r="AD387" s="115">
        <f>IF(X387="","",IF(C387="",B387,C387))</f>
        <v/>
      </c>
      <c r="AE387" s="109">
        <f>IF(B387="","",WEEKDAY(B387,2))</f>
        <v/>
      </c>
      <c r="AF387" s="112">
        <f>IF(X387="","",'Paramètres'!$C$9+SUM($X$6:X387))</f>
        <v/>
      </c>
      <c r="AG387" s="112">
        <f>IF(AF387="","",MAX('Paramètres'!$C$9,MAX($AF$6:AF387)))</f>
        <v/>
      </c>
      <c r="AH387" s="116">
        <f>IF(AF387="","",AF387/AG387-1)</f>
        <v/>
      </c>
      <c r="AI387" s="109">
        <f>IF(X387="","",IF(X387&gt;0,IF(N(AI386)&gt;0,N(AI386)+1,1),IF(X387&lt;0,IF(N(AI386)&lt;0,N(AI386)-1,-1),0)))</f>
        <v/>
      </c>
      <c r="AJ387" s="116">
        <f>IF(Z387="","",IFERROR(Z387/('Paramètres'!$C$9+SUM($X$5:X386)),""))</f>
        <v/>
      </c>
      <c r="AK387" s="109">
        <f>IF(AC387="Ouvert",COUNTIF($AC$6:AC387,"Ouvert"),"")</f>
        <v/>
      </c>
    </row>
    <row r="388" ht="19" customHeight="1">
      <c r="A388" s="104">
        <f>IF(B388="","",ROW()-5)</f>
        <v/>
      </c>
      <c r="B388" s="61" t="n"/>
      <c r="C388" s="61" t="n"/>
      <c r="D388" s="105" t="n"/>
      <c r="E388" s="49" t="n"/>
      <c r="F388" s="105" t="n"/>
      <c r="G388" s="49" t="n"/>
      <c r="H388" s="106" t="n"/>
      <c r="I388" s="107" t="n"/>
      <c r="J388" s="107" t="n"/>
      <c r="K388" s="107" t="n"/>
      <c r="L388" s="107" t="n"/>
      <c r="M388" s="106" t="n"/>
      <c r="N388" s="62" t="n"/>
      <c r="O388" s="49" t="n"/>
      <c r="P388" s="49" t="n"/>
      <c r="Q388" s="105" t="n"/>
      <c r="R388" s="105" t="n"/>
      <c r="S388" s="105" t="n"/>
      <c r="T388" s="105" t="n"/>
      <c r="U388" s="108">
        <f>IF(OR(H388="",I388="",I388=0),"",H388/I388)</f>
        <v/>
      </c>
      <c r="V388" s="109">
        <f>IF(OR(B388="",C388="",L388=""),"",MAX(0,C388-B388))</f>
        <v/>
      </c>
      <c r="W388" s="110">
        <f>IF(OR(L388="",U388=""),"",IF(E388="Short",(I388-L388)*U388,(L388-I388)*U388))</f>
        <v/>
      </c>
      <c r="X388" s="110">
        <f>IF(W388="","",W388-IF(M388="",0,M388))</f>
        <v/>
      </c>
      <c r="Y388" s="111">
        <f>IF(OR(X388="",H388="",H388=0),"",X388/H388)</f>
        <v/>
      </c>
      <c r="Z388" s="112">
        <f>IF(OR(I388="",J388="",U388=""),"",ABS(I388-J388)*U388)</f>
        <v/>
      </c>
      <c r="AA388" s="113">
        <f>IF(OR(X388="",Z388="",Z388=0),"",X388/Z388)</f>
        <v/>
      </c>
      <c r="AB388" s="114">
        <f>IF(OR(I388="",J388="",K388="",I388=J388),"",ABS(K388-I388)/ABS(I388-J388))</f>
        <v/>
      </c>
      <c r="AC388" s="51">
        <f>IF(OR(B388="",D388="",H388="",I388=""),"",IF(L388="","Ouvert",IF(X388&gt;0,"Gagné",IF(X388&lt;0,"Perdu","Neutre"))))</f>
        <v/>
      </c>
      <c r="AD388" s="115">
        <f>IF(X388="","",IF(C388="",B388,C388))</f>
        <v/>
      </c>
      <c r="AE388" s="109">
        <f>IF(B388="","",WEEKDAY(B388,2))</f>
        <v/>
      </c>
      <c r="AF388" s="112">
        <f>IF(X388="","",'Paramètres'!$C$9+SUM($X$6:X388))</f>
        <v/>
      </c>
      <c r="AG388" s="112">
        <f>IF(AF388="","",MAX('Paramètres'!$C$9,MAX($AF$6:AF388)))</f>
        <v/>
      </c>
      <c r="AH388" s="116">
        <f>IF(AF388="","",AF388/AG388-1)</f>
        <v/>
      </c>
      <c r="AI388" s="109">
        <f>IF(X388="","",IF(X388&gt;0,IF(N(AI387)&gt;0,N(AI387)+1,1),IF(X388&lt;0,IF(N(AI387)&lt;0,N(AI387)-1,-1),0)))</f>
        <v/>
      </c>
      <c r="AJ388" s="116">
        <f>IF(Z388="","",IFERROR(Z388/('Paramètres'!$C$9+SUM($X$5:X387)),""))</f>
        <v/>
      </c>
      <c r="AK388" s="109">
        <f>IF(AC388="Ouvert",COUNTIF($AC$6:AC388,"Ouvert"),"")</f>
        <v/>
      </c>
    </row>
    <row r="389" ht="19" customHeight="1">
      <c r="A389" s="104">
        <f>IF(B389="","",ROW()-5)</f>
        <v/>
      </c>
      <c r="B389" s="61" t="n"/>
      <c r="C389" s="61" t="n"/>
      <c r="D389" s="105" t="n"/>
      <c r="E389" s="49" t="n"/>
      <c r="F389" s="105" t="n"/>
      <c r="G389" s="49" t="n"/>
      <c r="H389" s="106" t="n"/>
      <c r="I389" s="107" t="n"/>
      <c r="J389" s="107" t="n"/>
      <c r="K389" s="107" t="n"/>
      <c r="L389" s="107" t="n"/>
      <c r="M389" s="106" t="n"/>
      <c r="N389" s="62" t="n"/>
      <c r="O389" s="49" t="n"/>
      <c r="P389" s="49" t="n"/>
      <c r="Q389" s="105" t="n"/>
      <c r="R389" s="105" t="n"/>
      <c r="S389" s="105" t="n"/>
      <c r="T389" s="105" t="n"/>
      <c r="U389" s="108">
        <f>IF(OR(H389="",I389="",I389=0),"",H389/I389)</f>
        <v/>
      </c>
      <c r="V389" s="109">
        <f>IF(OR(B389="",C389="",L389=""),"",MAX(0,C389-B389))</f>
        <v/>
      </c>
      <c r="W389" s="110">
        <f>IF(OR(L389="",U389=""),"",IF(E389="Short",(I389-L389)*U389,(L389-I389)*U389))</f>
        <v/>
      </c>
      <c r="X389" s="110">
        <f>IF(W389="","",W389-IF(M389="",0,M389))</f>
        <v/>
      </c>
      <c r="Y389" s="111">
        <f>IF(OR(X389="",H389="",H389=0),"",X389/H389)</f>
        <v/>
      </c>
      <c r="Z389" s="112">
        <f>IF(OR(I389="",J389="",U389=""),"",ABS(I389-J389)*U389)</f>
        <v/>
      </c>
      <c r="AA389" s="113">
        <f>IF(OR(X389="",Z389="",Z389=0),"",X389/Z389)</f>
        <v/>
      </c>
      <c r="AB389" s="114">
        <f>IF(OR(I389="",J389="",K389="",I389=J389),"",ABS(K389-I389)/ABS(I389-J389))</f>
        <v/>
      </c>
      <c r="AC389" s="51">
        <f>IF(OR(B389="",D389="",H389="",I389=""),"",IF(L389="","Ouvert",IF(X389&gt;0,"Gagné",IF(X389&lt;0,"Perdu","Neutre"))))</f>
        <v/>
      </c>
      <c r="AD389" s="115">
        <f>IF(X389="","",IF(C389="",B389,C389))</f>
        <v/>
      </c>
      <c r="AE389" s="109">
        <f>IF(B389="","",WEEKDAY(B389,2))</f>
        <v/>
      </c>
      <c r="AF389" s="112">
        <f>IF(X389="","",'Paramètres'!$C$9+SUM($X$6:X389))</f>
        <v/>
      </c>
      <c r="AG389" s="112">
        <f>IF(AF389="","",MAX('Paramètres'!$C$9,MAX($AF$6:AF389)))</f>
        <v/>
      </c>
      <c r="AH389" s="116">
        <f>IF(AF389="","",AF389/AG389-1)</f>
        <v/>
      </c>
      <c r="AI389" s="109">
        <f>IF(X389="","",IF(X389&gt;0,IF(N(AI388)&gt;0,N(AI388)+1,1),IF(X389&lt;0,IF(N(AI388)&lt;0,N(AI388)-1,-1),0)))</f>
        <v/>
      </c>
      <c r="AJ389" s="116">
        <f>IF(Z389="","",IFERROR(Z389/('Paramètres'!$C$9+SUM($X$5:X388)),""))</f>
        <v/>
      </c>
      <c r="AK389" s="109">
        <f>IF(AC389="Ouvert",COUNTIF($AC$6:AC389,"Ouvert"),"")</f>
        <v/>
      </c>
    </row>
    <row r="390" ht="19" customHeight="1">
      <c r="A390" s="104">
        <f>IF(B390="","",ROW()-5)</f>
        <v/>
      </c>
      <c r="B390" s="61" t="n"/>
      <c r="C390" s="61" t="n"/>
      <c r="D390" s="105" t="n"/>
      <c r="E390" s="49" t="n"/>
      <c r="F390" s="105" t="n"/>
      <c r="G390" s="49" t="n"/>
      <c r="H390" s="106" t="n"/>
      <c r="I390" s="107" t="n"/>
      <c r="J390" s="107" t="n"/>
      <c r="K390" s="107" t="n"/>
      <c r="L390" s="107" t="n"/>
      <c r="M390" s="106" t="n"/>
      <c r="N390" s="62" t="n"/>
      <c r="O390" s="49" t="n"/>
      <c r="P390" s="49" t="n"/>
      <c r="Q390" s="105" t="n"/>
      <c r="R390" s="105" t="n"/>
      <c r="S390" s="105" t="n"/>
      <c r="T390" s="105" t="n"/>
      <c r="U390" s="108">
        <f>IF(OR(H390="",I390="",I390=0),"",H390/I390)</f>
        <v/>
      </c>
      <c r="V390" s="109">
        <f>IF(OR(B390="",C390="",L390=""),"",MAX(0,C390-B390))</f>
        <v/>
      </c>
      <c r="W390" s="110">
        <f>IF(OR(L390="",U390=""),"",IF(E390="Short",(I390-L390)*U390,(L390-I390)*U390))</f>
        <v/>
      </c>
      <c r="X390" s="110">
        <f>IF(W390="","",W390-IF(M390="",0,M390))</f>
        <v/>
      </c>
      <c r="Y390" s="111">
        <f>IF(OR(X390="",H390="",H390=0),"",X390/H390)</f>
        <v/>
      </c>
      <c r="Z390" s="112">
        <f>IF(OR(I390="",J390="",U390=""),"",ABS(I390-J390)*U390)</f>
        <v/>
      </c>
      <c r="AA390" s="113">
        <f>IF(OR(X390="",Z390="",Z390=0),"",X390/Z390)</f>
        <v/>
      </c>
      <c r="AB390" s="114">
        <f>IF(OR(I390="",J390="",K390="",I390=J390),"",ABS(K390-I390)/ABS(I390-J390))</f>
        <v/>
      </c>
      <c r="AC390" s="51">
        <f>IF(OR(B390="",D390="",H390="",I390=""),"",IF(L390="","Ouvert",IF(X390&gt;0,"Gagné",IF(X390&lt;0,"Perdu","Neutre"))))</f>
        <v/>
      </c>
      <c r="AD390" s="115">
        <f>IF(X390="","",IF(C390="",B390,C390))</f>
        <v/>
      </c>
      <c r="AE390" s="109">
        <f>IF(B390="","",WEEKDAY(B390,2))</f>
        <v/>
      </c>
      <c r="AF390" s="112">
        <f>IF(X390="","",'Paramètres'!$C$9+SUM($X$6:X390))</f>
        <v/>
      </c>
      <c r="AG390" s="112">
        <f>IF(AF390="","",MAX('Paramètres'!$C$9,MAX($AF$6:AF390)))</f>
        <v/>
      </c>
      <c r="AH390" s="116">
        <f>IF(AF390="","",AF390/AG390-1)</f>
        <v/>
      </c>
      <c r="AI390" s="109">
        <f>IF(X390="","",IF(X390&gt;0,IF(N(AI389)&gt;0,N(AI389)+1,1),IF(X390&lt;0,IF(N(AI389)&lt;0,N(AI389)-1,-1),0)))</f>
        <v/>
      </c>
      <c r="AJ390" s="116">
        <f>IF(Z390="","",IFERROR(Z390/('Paramètres'!$C$9+SUM($X$5:X389)),""))</f>
        <v/>
      </c>
      <c r="AK390" s="109">
        <f>IF(AC390="Ouvert",COUNTIF($AC$6:AC390,"Ouvert"),"")</f>
        <v/>
      </c>
    </row>
    <row r="391" ht="19" customHeight="1">
      <c r="A391" s="104">
        <f>IF(B391="","",ROW()-5)</f>
        <v/>
      </c>
      <c r="B391" s="61" t="n"/>
      <c r="C391" s="61" t="n"/>
      <c r="D391" s="105" t="n"/>
      <c r="E391" s="49" t="n"/>
      <c r="F391" s="105" t="n"/>
      <c r="G391" s="49" t="n"/>
      <c r="H391" s="106" t="n"/>
      <c r="I391" s="107" t="n"/>
      <c r="J391" s="107" t="n"/>
      <c r="K391" s="107" t="n"/>
      <c r="L391" s="107" t="n"/>
      <c r="M391" s="106" t="n"/>
      <c r="N391" s="62" t="n"/>
      <c r="O391" s="49" t="n"/>
      <c r="P391" s="49" t="n"/>
      <c r="Q391" s="105" t="n"/>
      <c r="R391" s="105" t="n"/>
      <c r="S391" s="105" t="n"/>
      <c r="T391" s="105" t="n"/>
      <c r="U391" s="108">
        <f>IF(OR(H391="",I391="",I391=0),"",H391/I391)</f>
        <v/>
      </c>
      <c r="V391" s="109">
        <f>IF(OR(B391="",C391="",L391=""),"",MAX(0,C391-B391))</f>
        <v/>
      </c>
      <c r="W391" s="110">
        <f>IF(OR(L391="",U391=""),"",IF(E391="Short",(I391-L391)*U391,(L391-I391)*U391))</f>
        <v/>
      </c>
      <c r="X391" s="110">
        <f>IF(W391="","",W391-IF(M391="",0,M391))</f>
        <v/>
      </c>
      <c r="Y391" s="111">
        <f>IF(OR(X391="",H391="",H391=0),"",X391/H391)</f>
        <v/>
      </c>
      <c r="Z391" s="112">
        <f>IF(OR(I391="",J391="",U391=""),"",ABS(I391-J391)*U391)</f>
        <v/>
      </c>
      <c r="AA391" s="113">
        <f>IF(OR(X391="",Z391="",Z391=0),"",X391/Z391)</f>
        <v/>
      </c>
      <c r="AB391" s="114">
        <f>IF(OR(I391="",J391="",K391="",I391=J391),"",ABS(K391-I391)/ABS(I391-J391))</f>
        <v/>
      </c>
      <c r="AC391" s="51">
        <f>IF(OR(B391="",D391="",H391="",I391=""),"",IF(L391="","Ouvert",IF(X391&gt;0,"Gagné",IF(X391&lt;0,"Perdu","Neutre"))))</f>
        <v/>
      </c>
      <c r="AD391" s="115">
        <f>IF(X391="","",IF(C391="",B391,C391))</f>
        <v/>
      </c>
      <c r="AE391" s="109">
        <f>IF(B391="","",WEEKDAY(B391,2))</f>
        <v/>
      </c>
      <c r="AF391" s="112">
        <f>IF(X391="","",'Paramètres'!$C$9+SUM($X$6:X391))</f>
        <v/>
      </c>
      <c r="AG391" s="112">
        <f>IF(AF391="","",MAX('Paramètres'!$C$9,MAX($AF$6:AF391)))</f>
        <v/>
      </c>
      <c r="AH391" s="116">
        <f>IF(AF391="","",AF391/AG391-1)</f>
        <v/>
      </c>
      <c r="AI391" s="109">
        <f>IF(X391="","",IF(X391&gt;0,IF(N(AI390)&gt;0,N(AI390)+1,1),IF(X391&lt;0,IF(N(AI390)&lt;0,N(AI390)-1,-1),0)))</f>
        <v/>
      </c>
      <c r="AJ391" s="116">
        <f>IF(Z391="","",IFERROR(Z391/('Paramètres'!$C$9+SUM($X$5:X390)),""))</f>
        <v/>
      </c>
      <c r="AK391" s="109">
        <f>IF(AC391="Ouvert",COUNTIF($AC$6:AC391,"Ouvert"),"")</f>
        <v/>
      </c>
    </row>
    <row r="392" ht="19" customHeight="1">
      <c r="A392" s="104">
        <f>IF(B392="","",ROW()-5)</f>
        <v/>
      </c>
      <c r="B392" s="61" t="n"/>
      <c r="C392" s="61" t="n"/>
      <c r="D392" s="105" t="n"/>
      <c r="E392" s="49" t="n"/>
      <c r="F392" s="105" t="n"/>
      <c r="G392" s="49" t="n"/>
      <c r="H392" s="106" t="n"/>
      <c r="I392" s="107" t="n"/>
      <c r="J392" s="107" t="n"/>
      <c r="K392" s="107" t="n"/>
      <c r="L392" s="107" t="n"/>
      <c r="M392" s="106" t="n"/>
      <c r="N392" s="62" t="n"/>
      <c r="O392" s="49" t="n"/>
      <c r="P392" s="49" t="n"/>
      <c r="Q392" s="105" t="n"/>
      <c r="R392" s="105" t="n"/>
      <c r="S392" s="105" t="n"/>
      <c r="T392" s="105" t="n"/>
      <c r="U392" s="108">
        <f>IF(OR(H392="",I392="",I392=0),"",H392/I392)</f>
        <v/>
      </c>
      <c r="V392" s="109">
        <f>IF(OR(B392="",C392="",L392=""),"",MAX(0,C392-B392))</f>
        <v/>
      </c>
      <c r="W392" s="110">
        <f>IF(OR(L392="",U392=""),"",IF(E392="Short",(I392-L392)*U392,(L392-I392)*U392))</f>
        <v/>
      </c>
      <c r="X392" s="110">
        <f>IF(W392="","",W392-IF(M392="",0,M392))</f>
        <v/>
      </c>
      <c r="Y392" s="111">
        <f>IF(OR(X392="",H392="",H392=0),"",X392/H392)</f>
        <v/>
      </c>
      <c r="Z392" s="112">
        <f>IF(OR(I392="",J392="",U392=""),"",ABS(I392-J392)*U392)</f>
        <v/>
      </c>
      <c r="AA392" s="113">
        <f>IF(OR(X392="",Z392="",Z392=0),"",X392/Z392)</f>
        <v/>
      </c>
      <c r="AB392" s="114">
        <f>IF(OR(I392="",J392="",K392="",I392=J392),"",ABS(K392-I392)/ABS(I392-J392))</f>
        <v/>
      </c>
      <c r="AC392" s="51">
        <f>IF(OR(B392="",D392="",H392="",I392=""),"",IF(L392="","Ouvert",IF(X392&gt;0,"Gagné",IF(X392&lt;0,"Perdu","Neutre"))))</f>
        <v/>
      </c>
      <c r="AD392" s="115">
        <f>IF(X392="","",IF(C392="",B392,C392))</f>
        <v/>
      </c>
      <c r="AE392" s="109">
        <f>IF(B392="","",WEEKDAY(B392,2))</f>
        <v/>
      </c>
      <c r="AF392" s="112">
        <f>IF(X392="","",'Paramètres'!$C$9+SUM($X$6:X392))</f>
        <v/>
      </c>
      <c r="AG392" s="112">
        <f>IF(AF392="","",MAX('Paramètres'!$C$9,MAX($AF$6:AF392)))</f>
        <v/>
      </c>
      <c r="AH392" s="116">
        <f>IF(AF392="","",AF392/AG392-1)</f>
        <v/>
      </c>
      <c r="AI392" s="109">
        <f>IF(X392="","",IF(X392&gt;0,IF(N(AI391)&gt;0,N(AI391)+1,1),IF(X392&lt;0,IF(N(AI391)&lt;0,N(AI391)-1,-1),0)))</f>
        <v/>
      </c>
      <c r="AJ392" s="116">
        <f>IF(Z392="","",IFERROR(Z392/('Paramètres'!$C$9+SUM($X$5:X391)),""))</f>
        <v/>
      </c>
      <c r="AK392" s="109">
        <f>IF(AC392="Ouvert",COUNTIF($AC$6:AC392,"Ouvert"),"")</f>
        <v/>
      </c>
    </row>
    <row r="393" ht="19" customHeight="1">
      <c r="A393" s="104">
        <f>IF(B393="","",ROW()-5)</f>
        <v/>
      </c>
      <c r="B393" s="61" t="n"/>
      <c r="C393" s="61" t="n"/>
      <c r="D393" s="105" t="n"/>
      <c r="E393" s="49" t="n"/>
      <c r="F393" s="105" t="n"/>
      <c r="G393" s="49" t="n"/>
      <c r="H393" s="106" t="n"/>
      <c r="I393" s="107" t="n"/>
      <c r="J393" s="107" t="n"/>
      <c r="K393" s="107" t="n"/>
      <c r="L393" s="107" t="n"/>
      <c r="M393" s="106" t="n"/>
      <c r="N393" s="62" t="n"/>
      <c r="O393" s="49" t="n"/>
      <c r="P393" s="49" t="n"/>
      <c r="Q393" s="105" t="n"/>
      <c r="R393" s="105" t="n"/>
      <c r="S393" s="105" t="n"/>
      <c r="T393" s="105" t="n"/>
      <c r="U393" s="108">
        <f>IF(OR(H393="",I393="",I393=0),"",H393/I393)</f>
        <v/>
      </c>
      <c r="V393" s="109">
        <f>IF(OR(B393="",C393="",L393=""),"",MAX(0,C393-B393))</f>
        <v/>
      </c>
      <c r="W393" s="110">
        <f>IF(OR(L393="",U393=""),"",IF(E393="Short",(I393-L393)*U393,(L393-I393)*U393))</f>
        <v/>
      </c>
      <c r="X393" s="110">
        <f>IF(W393="","",W393-IF(M393="",0,M393))</f>
        <v/>
      </c>
      <c r="Y393" s="111">
        <f>IF(OR(X393="",H393="",H393=0),"",X393/H393)</f>
        <v/>
      </c>
      <c r="Z393" s="112">
        <f>IF(OR(I393="",J393="",U393=""),"",ABS(I393-J393)*U393)</f>
        <v/>
      </c>
      <c r="AA393" s="113">
        <f>IF(OR(X393="",Z393="",Z393=0),"",X393/Z393)</f>
        <v/>
      </c>
      <c r="AB393" s="114">
        <f>IF(OR(I393="",J393="",K393="",I393=J393),"",ABS(K393-I393)/ABS(I393-J393))</f>
        <v/>
      </c>
      <c r="AC393" s="51">
        <f>IF(OR(B393="",D393="",H393="",I393=""),"",IF(L393="","Ouvert",IF(X393&gt;0,"Gagné",IF(X393&lt;0,"Perdu","Neutre"))))</f>
        <v/>
      </c>
      <c r="AD393" s="115">
        <f>IF(X393="","",IF(C393="",B393,C393))</f>
        <v/>
      </c>
      <c r="AE393" s="109">
        <f>IF(B393="","",WEEKDAY(B393,2))</f>
        <v/>
      </c>
      <c r="AF393" s="112">
        <f>IF(X393="","",'Paramètres'!$C$9+SUM($X$6:X393))</f>
        <v/>
      </c>
      <c r="AG393" s="112">
        <f>IF(AF393="","",MAX('Paramètres'!$C$9,MAX($AF$6:AF393)))</f>
        <v/>
      </c>
      <c r="AH393" s="116">
        <f>IF(AF393="","",AF393/AG393-1)</f>
        <v/>
      </c>
      <c r="AI393" s="109">
        <f>IF(X393="","",IF(X393&gt;0,IF(N(AI392)&gt;0,N(AI392)+1,1),IF(X393&lt;0,IF(N(AI392)&lt;0,N(AI392)-1,-1),0)))</f>
        <v/>
      </c>
      <c r="AJ393" s="116">
        <f>IF(Z393="","",IFERROR(Z393/('Paramètres'!$C$9+SUM($X$5:X392)),""))</f>
        <v/>
      </c>
      <c r="AK393" s="109">
        <f>IF(AC393="Ouvert",COUNTIF($AC$6:AC393,"Ouvert"),"")</f>
        <v/>
      </c>
    </row>
    <row r="394" ht="19" customHeight="1">
      <c r="A394" s="104">
        <f>IF(B394="","",ROW()-5)</f>
        <v/>
      </c>
      <c r="B394" s="61" t="n"/>
      <c r="C394" s="61" t="n"/>
      <c r="D394" s="105" t="n"/>
      <c r="E394" s="49" t="n"/>
      <c r="F394" s="105" t="n"/>
      <c r="G394" s="49" t="n"/>
      <c r="H394" s="106" t="n"/>
      <c r="I394" s="107" t="n"/>
      <c r="J394" s="107" t="n"/>
      <c r="K394" s="107" t="n"/>
      <c r="L394" s="107" t="n"/>
      <c r="M394" s="106" t="n"/>
      <c r="N394" s="62" t="n"/>
      <c r="O394" s="49" t="n"/>
      <c r="P394" s="49" t="n"/>
      <c r="Q394" s="105" t="n"/>
      <c r="R394" s="105" t="n"/>
      <c r="S394" s="105" t="n"/>
      <c r="T394" s="105" t="n"/>
      <c r="U394" s="108">
        <f>IF(OR(H394="",I394="",I394=0),"",H394/I394)</f>
        <v/>
      </c>
      <c r="V394" s="109">
        <f>IF(OR(B394="",C394="",L394=""),"",MAX(0,C394-B394))</f>
        <v/>
      </c>
      <c r="W394" s="110">
        <f>IF(OR(L394="",U394=""),"",IF(E394="Short",(I394-L394)*U394,(L394-I394)*U394))</f>
        <v/>
      </c>
      <c r="X394" s="110">
        <f>IF(W394="","",W394-IF(M394="",0,M394))</f>
        <v/>
      </c>
      <c r="Y394" s="111">
        <f>IF(OR(X394="",H394="",H394=0),"",X394/H394)</f>
        <v/>
      </c>
      <c r="Z394" s="112">
        <f>IF(OR(I394="",J394="",U394=""),"",ABS(I394-J394)*U394)</f>
        <v/>
      </c>
      <c r="AA394" s="113">
        <f>IF(OR(X394="",Z394="",Z394=0),"",X394/Z394)</f>
        <v/>
      </c>
      <c r="AB394" s="114">
        <f>IF(OR(I394="",J394="",K394="",I394=J394),"",ABS(K394-I394)/ABS(I394-J394))</f>
        <v/>
      </c>
      <c r="AC394" s="51">
        <f>IF(OR(B394="",D394="",H394="",I394=""),"",IF(L394="","Ouvert",IF(X394&gt;0,"Gagné",IF(X394&lt;0,"Perdu","Neutre"))))</f>
        <v/>
      </c>
      <c r="AD394" s="115">
        <f>IF(X394="","",IF(C394="",B394,C394))</f>
        <v/>
      </c>
      <c r="AE394" s="109">
        <f>IF(B394="","",WEEKDAY(B394,2))</f>
        <v/>
      </c>
      <c r="AF394" s="112">
        <f>IF(X394="","",'Paramètres'!$C$9+SUM($X$6:X394))</f>
        <v/>
      </c>
      <c r="AG394" s="112">
        <f>IF(AF394="","",MAX('Paramètres'!$C$9,MAX($AF$6:AF394)))</f>
        <v/>
      </c>
      <c r="AH394" s="116">
        <f>IF(AF394="","",AF394/AG394-1)</f>
        <v/>
      </c>
      <c r="AI394" s="109">
        <f>IF(X394="","",IF(X394&gt;0,IF(N(AI393)&gt;0,N(AI393)+1,1),IF(X394&lt;0,IF(N(AI393)&lt;0,N(AI393)-1,-1),0)))</f>
        <v/>
      </c>
      <c r="AJ394" s="116">
        <f>IF(Z394="","",IFERROR(Z394/('Paramètres'!$C$9+SUM($X$5:X393)),""))</f>
        <v/>
      </c>
      <c r="AK394" s="109">
        <f>IF(AC394="Ouvert",COUNTIF($AC$6:AC394,"Ouvert"),"")</f>
        <v/>
      </c>
    </row>
    <row r="395" ht="19" customHeight="1">
      <c r="A395" s="104">
        <f>IF(B395="","",ROW()-5)</f>
        <v/>
      </c>
      <c r="B395" s="61" t="n"/>
      <c r="C395" s="61" t="n"/>
      <c r="D395" s="105" t="n"/>
      <c r="E395" s="49" t="n"/>
      <c r="F395" s="105" t="n"/>
      <c r="G395" s="49" t="n"/>
      <c r="H395" s="106" t="n"/>
      <c r="I395" s="107" t="n"/>
      <c r="J395" s="107" t="n"/>
      <c r="K395" s="107" t="n"/>
      <c r="L395" s="107" t="n"/>
      <c r="M395" s="106" t="n"/>
      <c r="N395" s="62" t="n"/>
      <c r="O395" s="49" t="n"/>
      <c r="P395" s="49" t="n"/>
      <c r="Q395" s="105" t="n"/>
      <c r="R395" s="105" t="n"/>
      <c r="S395" s="105" t="n"/>
      <c r="T395" s="105" t="n"/>
      <c r="U395" s="108">
        <f>IF(OR(H395="",I395="",I395=0),"",H395/I395)</f>
        <v/>
      </c>
      <c r="V395" s="109">
        <f>IF(OR(B395="",C395="",L395=""),"",MAX(0,C395-B395))</f>
        <v/>
      </c>
      <c r="W395" s="110">
        <f>IF(OR(L395="",U395=""),"",IF(E395="Short",(I395-L395)*U395,(L395-I395)*U395))</f>
        <v/>
      </c>
      <c r="X395" s="110">
        <f>IF(W395="","",W395-IF(M395="",0,M395))</f>
        <v/>
      </c>
      <c r="Y395" s="111">
        <f>IF(OR(X395="",H395="",H395=0),"",X395/H395)</f>
        <v/>
      </c>
      <c r="Z395" s="112">
        <f>IF(OR(I395="",J395="",U395=""),"",ABS(I395-J395)*U395)</f>
        <v/>
      </c>
      <c r="AA395" s="113">
        <f>IF(OR(X395="",Z395="",Z395=0),"",X395/Z395)</f>
        <v/>
      </c>
      <c r="AB395" s="114">
        <f>IF(OR(I395="",J395="",K395="",I395=J395),"",ABS(K395-I395)/ABS(I395-J395))</f>
        <v/>
      </c>
      <c r="AC395" s="51">
        <f>IF(OR(B395="",D395="",H395="",I395=""),"",IF(L395="","Ouvert",IF(X395&gt;0,"Gagné",IF(X395&lt;0,"Perdu","Neutre"))))</f>
        <v/>
      </c>
      <c r="AD395" s="115">
        <f>IF(X395="","",IF(C395="",B395,C395))</f>
        <v/>
      </c>
      <c r="AE395" s="109">
        <f>IF(B395="","",WEEKDAY(B395,2))</f>
        <v/>
      </c>
      <c r="AF395" s="112">
        <f>IF(X395="","",'Paramètres'!$C$9+SUM($X$6:X395))</f>
        <v/>
      </c>
      <c r="AG395" s="112">
        <f>IF(AF395="","",MAX('Paramètres'!$C$9,MAX($AF$6:AF395)))</f>
        <v/>
      </c>
      <c r="AH395" s="116">
        <f>IF(AF395="","",AF395/AG395-1)</f>
        <v/>
      </c>
      <c r="AI395" s="109">
        <f>IF(X395="","",IF(X395&gt;0,IF(N(AI394)&gt;0,N(AI394)+1,1),IF(X395&lt;0,IF(N(AI394)&lt;0,N(AI394)-1,-1),0)))</f>
        <v/>
      </c>
      <c r="AJ395" s="116">
        <f>IF(Z395="","",IFERROR(Z395/('Paramètres'!$C$9+SUM($X$5:X394)),""))</f>
        <v/>
      </c>
      <c r="AK395" s="109">
        <f>IF(AC395="Ouvert",COUNTIF($AC$6:AC395,"Ouvert"),"")</f>
        <v/>
      </c>
    </row>
    <row r="396" ht="19" customHeight="1">
      <c r="A396" s="104">
        <f>IF(B396="","",ROW()-5)</f>
        <v/>
      </c>
      <c r="B396" s="61" t="n"/>
      <c r="C396" s="61" t="n"/>
      <c r="D396" s="105" t="n"/>
      <c r="E396" s="49" t="n"/>
      <c r="F396" s="105" t="n"/>
      <c r="G396" s="49" t="n"/>
      <c r="H396" s="106" t="n"/>
      <c r="I396" s="107" t="n"/>
      <c r="J396" s="107" t="n"/>
      <c r="K396" s="107" t="n"/>
      <c r="L396" s="107" t="n"/>
      <c r="M396" s="106" t="n"/>
      <c r="N396" s="62" t="n"/>
      <c r="O396" s="49" t="n"/>
      <c r="P396" s="49" t="n"/>
      <c r="Q396" s="105" t="n"/>
      <c r="R396" s="105" t="n"/>
      <c r="S396" s="105" t="n"/>
      <c r="T396" s="105" t="n"/>
      <c r="U396" s="108">
        <f>IF(OR(H396="",I396="",I396=0),"",H396/I396)</f>
        <v/>
      </c>
      <c r="V396" s="109">
        <f>IF(OR(B396="",C396="",L396=""),"",MAX(0,C396-B396))</f>
        <v/>
      </c>
      <c r="W396" s="110">
        <f>IF(OR(L396="",U396=""),"",IF(E396="Short",(I396-L396)*U396,(L396-I396)*U396))</f>
        <v/>
      </c>
      <c r="X396" s="110">
        <f>IF(W396="","",W396-IF(M396="",0,M396))</f>
        <v/>
      </c>
      <c r="Y396" s="111">
        <f>IF(OR(X396="",H396="",H396=0),"",X396/H396)</f>
        <v/>
      </c>
      <c r="Z396" s="112">
        <f>IF(OR(I396="",J396="",U396=""),"",ABS(I396-J396)*U396)</f>
        <v/>
      </c>
      <c r="AA396" s="113">
        <f>IF(OR(X396="",Z396="",Z396=0),"",X396/Z396)</f>
        <v/>
      </c>
      <c r="AB396" s="114">
        <f>IF(OR(I396="",J396="",K396="",I396=J396),"",ABS(K396-I396)/ABS(I396-J396))</f>
        <v/>
      </c>
      <c r="AC396" s="51">
        <f>IF(OR(B396="",D396="",H396="",I396=""),"",IF(L396="","Ouvert",IF(X396&gt;0,"Gagné",IF(X396&lt;0,"Perdu","Neutre"))))</f>
        <v/>
      </c>
      <c r="AD396" s="115">
        <f>IF(X396="","",IF(C396="",B396,C396))</f>
        <v/>
      </c>
      <c r="AE396" s="109">
        <f>IF(B396="","",WEEKDAY(B396,2))</f>
        <v/>
      </c>
      <c r="AF396" s="112">
        <f>IF(X396="","",'Paramètres'!$C$9+SUM($X$6:X396))</f>
        <v/>
      </c>
      <c r="AG396" s="112">
        <f>IF(AF396="","",MAX('Paramètres'!$C$9,MAX($AF$6:AF396)))</f>
        <v/>
      </c>
      <c r="AH396" s="116">
        <f>IF(AF396="","",AF396/AG396-1)</f>
        <v/>
      </c>
      <c r="AI396" s="109">
        <f>IF(X396="","",IF(X396&gt;0,IF(N(AI395)&gt;0,N(AI395)+1,1),IF(X396&lt;0,IF(N(AI395)&lt;0,N(AI395)-1,-1),0)))</f>
        <v/>
      </c>
      <c r="AJ396" s="116">
        <f>IF(Z396="","",IFERROR(Z396/('Paramètres'!$C$9+SUM($X$5:X395)),""))</f>
        <v/>
      </c>
      <c r="AK396" s="109">
        <f>IF(AC396="Ouvert",COUNTIF($AC$6:AC396,"Ouvert"),"")</f>
        <v/>
      </c>
    </row>
    <row r="397" ht="19" customHeight="1">
      <c r="A397" s="104">
        <f>IF(B397="","",ROW()-5)</f>
        <v/>
      </c>
      <c r="B397" s="61" t="n"/>
      <c r="C397" s="61" t="n"/>
      <c r="D397" s="105" t="n"/>
      <c r="E397" s="49" t="n"/>
      <c r="F397" s="105" t="n"/>
      <c r="G397" s="49" t="n"/>
      <c r="H397" s="106" t="n"/>
      <c r="I397" s="107" t="n"/>
      <c r="J397" s="107" t="n"/>
      <c r="K397" s="107" t="n"/>
      <c r="L397" s="107" t="n"/>
      <c r="M397" s="106" t="n"/>
      <c r="N397" s="62" t="n"/>
      <c r="O397" s="49" t="n"/>
      <c r="P397" s="49" t="n"/>
      <c r="Q397" s="105" t="n"/>
      <c r="R397" s="105" t="n"/>
      <c r="S397" s="105" t="n"/>
      <c r="T397" s="105" t="n"/>
      <c r="U397" s="108">
        <f>IF(OR(H397="",I397="",I397=0),"",H397/I397)</f>
        <v/>
      </c>
      <c r="V397" s="109">
        <f>IF(OR(B397="",C397="",L397=""),"",MAX(0,C397-B397))</f>
        <v/>
      </c>
      <c r="W397" s="110">
        <f>IF(OR(L397="",U397=""),"",IF(E397="Short",(I397-L397)*U397,(L397-I397)*U397))</f>
        <v/>
      </c>
      <c r="X397" s="110">
        <f>IF(W397="","",W397-IF(M397="",0,M397))</f>
        <v/>
      </c>
      <c r="Y397" s="111">
        <f>IF(OR(X397="",H397="",H397=0),"",X397/H397)</f>
        <v/>
      </c>
      <c r="Z397" s="112">
        <f>IF(OR(I397="",J397="",U397=""),"",ABS(I397-J397)*U397)</f>
        <v/>
      </c>
      <c r="AA397" s="113">
        <f>IF(OR(X397="",Z397="",Z397=0),"",X397/Z397)</f>
        <v/>
      </c>
      <c r="AB397" s="114">
        <f>IF(OR(I397="",J397="",K397="",I397=J397),"",ABS(K397-I397)/ABS(I397-J397))</f>
        <v/>
      </c>
      <c r="AC397" s="51">
        <f>IF(OR(B397="",D397="",H397="",I397=""),"",IF(L397="","Ouvert",IF(X397&gt;0,"Gagné",IF(X397&lt;0,"Perdu","Neutre"))))</f>
        <v/>
      </c>
      <c r="AD397" s="115">
        <f>IF(X397="","",IF(C397="",B397,C397))</f>
        <v/>
      </c>
      <c r="AE397" s="109">
        <f>IF(B397="","",WEEKDAY(B397,2))</f>
        <v/>
      </c>
      <c r="AF397" s="112">
        <f>IF(X397="","",'Paramètres'!$C$9+SUM($X$6:X397))</f>
        <v/>
      </c>
      <c r="AG397" s="112">
        <f>IF(AF397="","",MAX('Paramètres'!$C$9,MAX($AF$6:AF397)))</f>
        <v/>
      </c>
      <c r="AH397" s="116">
        <f>IF(AF397="","",AF397/AG397-1)</f>
        <v/>
      </c>
      <c r="AI397" s="109">
        <f>IF(X397="","",IF(X397&gt;0,IF(N(AI396)&gt;0,N(AI396)+1,1),IF(X397&lt;0,IF(N(AI396)&lt;0,N(AI396)-1,-1),0)))</f>
        <v/>
      </c>
      <c r="AJ397" s="116">
        <f>IF(Z397="","",IFERROR(Z397/('Paramètres'!$C$9+SUM($X$5:X396)),""))</f>
        <v/>
      </c>
      <c r="AK397" s="109">
        <f>IF(AC397="Ouvert",COUNTIF($AC$6:AC397,"Ouvert"),"")</f>
        <v/>
      </c>
    </row>
    <row r="398" ht="19" customHeight="1">
      <c r="A398" s="104">
        <f>IF(B398="","",ROW()-5)</f>
        <v/>
      </c>
      <c r="B398" s="61" t="n"/>
      <c r="C398" s="61" t="n"/>
      <c r="D398" s="105" t="n"/>
      <c r="E398" s="49" t="n"/>
      <c r="F398" s="105" t="n"/>
      <c r="G398" s="49" t="n"/>
      <c r="H398" s="106" t="n"/>
      <c r="I398" s="107" t="n"/>
      <c r="J398" s="107" t="n"/>
      <c r="K398" s="107" t="n"/>
      <c r="L398" s="107" t="n"/>
      <c r="M398" s="106" t="n"/>
      <c r="N398" s="62" t="n"/>
      <c r="O398" s="49" t="n"/>
      <c r="P398" s="49" t="n"/>
      <c r="Q398" s="105" t="n"/>
      <c r="R398" s="105" t="n"/>
      <c r="S398" s="105" t="n"/>
      <c r="T398" s="105" t="n"/>
      <c r="U398" s="108">
        <f>IF(OR(H398="",I398="",I398=0),"",H398/I398)</f>
        <v/>
      </c>
      <c r="V398" s="109">
        <f>IF(OR(B398="",C398="",L398=""),"",MAX(0,C398-B398))</f>
        <v/>
      </c>
      <c r="W398" s="110">
        <f>IF(OR(L398="",U398=""),"",IF(E398="Short",(I398-L398)*U398,(L398-I398)*U398))</f>
        <v/>
      </c>
      <c r="X398" s="110">
        <f>IF(W398="","",W398-IF(M398="",0,M398))</f>
        <v/>
      </c>
      <c r="Y398" s="111">
        <f>IF(OR(X398="",H398="",H398=0),"",X398/H398)</f>
        <v/>
      </c>
      <c r="Z398" s="112">
        <f>IF(OR(I398="",J398="",U398=""),"",ABS(I398-J398)*U398)</f>
        <v/>
      </c>
      <c r="AA398" s="113">
        <f>IF(OR(X398="",Z398="",Z398=0),"",X398/Z398)</f>
        <v/>
      </c>
      <c r="AB398" s="114">
        <f>IF(OR(I398="",J398="",K398="",I398=J398),"",ABS(K398-I398)/ABS(I398-J398))</f>
        <v/>
      </c>
      <c r="AC398" s="51">
        <f>IF(OR(B398="",D398="",H398="",I398=""),"",IF(L398="","Ouvert",IF(X398&gt;0,"Gagné",IF(X398&lt;0,"Perdu","Neutre"))))</f>
        <v/>
      </c>
      <c r="AD398" s="115">
        <f>IF(X398="","",IF(C398="",B398,C398))</f>
        <v/>
      </c>
      <c r="AE398" s="109">
        <f>IF(B398="","",WEEKDAY(B398,2))</f>
        <v/>
      </c>
      <c r="AF398" s="112">
        <f>IF(X398="","",'Paramètres'!$C$9+SUM($X$6:X398))</f>
        <v/>
      </c>
      <c r="AG398" s="112">
        <f>IF(AF398="","",MAX('Paramètres'!$C$9,MAX($AF$6:AF398)))</f>
        <v/>
      </c>
      <c r="AH398" s="116">
        <f>IF(AF398="","",AF398/AG398-1)</f>
        <v/>
      </c>
      <c r="AI398" s="109">
        <f>IF(X398="","",IF(X398&gt;0,IF(N(AI397)&gt;0,N(AI397)+1,1),IF(X398&lt;0,IF(N(AI397)&lt;0,N(AI397)-1,-1),0)))</f>
        <v/>
      </c>
      <c r="AJ398" s="116">
        <f>IF(Z398="","",IFERROR(Z398/('Paramètres'!$C$9+SUM($X$5:X397)),""))</f>
        <v/>
      </c>
      <c r="AK398" s="109">
        <f>IF(AC398="Ouvert",COUNTIF($AC$6:AC398,"Ouvert"),"")</f>
        <v/>
      </c>
    </row>
    <row r="399" ht="19" customHeight="1">
      <c r="A399" s="104">
        <f>IF(B399="","",ROW()-5)</f>
        <v/>
      </c>
      <c r="B399" s="61" t="n"/>
      <c r="C399" s="61" t="n"/>
      <c r="D399" s="105" t="n"/>
      <c r="E399" s="49" t="n"/>
      <c r="F399" s="105" t="n"/>
      <c r="G399" s="49" t="n"/>
      <c r="H399" s="106" t="n"/>
      <c r="I399" s="107" t="n"/>
      <c r="J399" s="107" t="n"/>
      <c r="K399" s="107" t="n"/>
      <c r="L399" s="107" t="n"/>
      <c r="M399" s="106" t="n"/>
      <c r="N399" s="62" t="n"/>
      <c r="O399" s="49" t="n"/>
      <c r="P399" s="49" t="n"/>
      <c r="Q399" s="105" t="n"/>
      <c r="R399" s="105" t="n"/>
      <c r="S399" s="105" t="n"/>
      <c r="T399" s="105" t="n"/>
      <c r="U399" s="108">
        <f>IF(OR(H399="",I399="",I399=0),"",H399/I399)</f>
        <v/>
      </c>
      <c r="V399" s="109">
        <f>IF(OR(B399="",C399="",L399=""),"",MAX(0,C399-B399))</f>
        <v/>
      </c>
      <c r="W399" s="110">
        <f>IF(OR(L399="",U399=""),"",IF(E399="Short",(I399-L399)*U399,(L399-I399)*U399))</f>
        <v/>
      </c>
      <c r="X399" s="110">
        <f>IF(W399="","",W399-IF(M399="",0,M399))</f>
        <v/>
      </c>
      <c r="Y399" s="111">
        <f>IF(OR(X399="",H399="",H399=0),"",X399/H399)</f>
        <v/>
      </c>
      <c r="Z399" s="112">
        <f>IF(OR(I399="",J399="",U399=""),"",ABS(I399-J399)*U399)</f>
        <v/>
      </c>
      <c r="AA399" s="113">
        <f>IF(OR(X399="",Z399="",Z399=0),"",X399/Z399)</f>
        <v/>
      </c>
      <c r="AB399" s="114">
        <f>IF(OR(I399="",J399="",K399="",I399=J399),"",ABS(K399-I399)/ABS(I399-J399))</f>
        <v/>
      </c>
      <c r="AC399" s="51">
        <f>IF(OR(B399="",D399="",H399="",I399=""),"",IF(L399="","Ouvert",IF(X399&gt;0,"Gagné",IF(X399&lt;0,"Perdu","Neutre"))))</f>
        <v/>
      </c>
      <c r="AD399" s="115">
        <f>IF(X399="","",IF(C399="",B399,C399))</f>
        <v/>
      </c>
      <c r="AE399" s="109">
        <f>IF(B399="","",WEEKDAY(B399,2))</f>
        <v/>
      </c>
      <c r="AF399" s="112">
        <f>IF(X399="","",'Paramètres'!$C$9+SUM($X$6:X399))</f>
        <v/>
      </c>
      <c r="AG399" s="112">
        <f>IF(AF399="","",MAX('Paramètres'!$C$9,MAX($AF$6:AF399)))</f>
        <v/>
      </c>
      <c r="AH399" s="116">
        <f>IF(AF399="","",AF399/AG399-1)</f>
        <v/>
      </c>
      <c r="AI399" s="109">
        <f>IF(X399="","",IF(X399&gt;0,IF(N(AI398)&gt;0,N(AI398)+1,1),IF(X399&lt;0,IF(N(AI398)&lt;0,N(AI398)-1,-1),0)))</f>
        <v/>
      </c>
      <c r="AJ399" s="116">
        <f>IF(Z399="","",IFERROR(Z399/('Paramètres'!$C$9+SUM($X$5:X398)),""))</f>
        <v/>
      </c>
      <c r="AK399" s="109">
        <f>IF(AC399="Ouvert",COUNTIF($AC$6:AC399,"Ouvert"),"")</f>
        <v/>
      </c>
    </row>
    <row r="400" ht="19" customHeight="1">
      <c r="A400" s="104">
        <f>IF(B400="","",ROW()-5)</f>
        <v/>
      </c>
      <c r="B400" s="61" t="n"/>
      <c r="C400" s="61" t="n"/>
      <c r="D400" s="105" t="n"/>
      <c r="E400" s="49" t="n"/>
      <c r="F400" s="105" t="n"/>
      <c r="G400" s="49" t="n"/>
      <c r="H400" s="106" t="n"/>
      <c r="I400" s="107" t="n"/>
      <c r="J400" s="107" t="n"/>
      <c r="K400" s="107" t="n"/>
      <c r="L400" s="107" t="n"/>
      <c r="M400" s="106" t="n"/>
      <c r="N400" s="62" t="n"/>
      <c r="O400" s="49" t="n"/>
      <c r="P400" s="49" t="n"/>
      <c r="Q400" s="105" t="n"/>
      <c r="R400" s="105" t="n"/>
      <c r="S400" s="105" t="n"/>
      <c r="T400" s="105" t="n"/>
      <c r="U400" s="108">
        <f>IF(OR(H400="",I400="",I400=0),"",H400/I400)</f>
        <v/>
      </c>
      <c r="V400" s="109">
        <f>IF(OR(B400="",C400="",L400=""),"",MAX(0,C400-B400))</f>
        <v/>
      </c>
      <c r="W400" s="110">
        <f>IF(OR(L400="",U400=""),"",IF(E400="Short",(I400-L400)*U400,(L400-I400)*U400))</f>
        <v/>
      </c>
      <c r="X400" s="110">
        <f>IF(W400="","",W400-IF(M400="",0,M400))</f>
        <v/>
      </c>
      <c r="Y400" s="111">
        <f>IF(OR(X400="",H400="",H400=0),"",X400/H400)</f>
        <v/>
      </c>
      <c r="Z400" s="112">
        <f>IF(OR(I400="",J400="",U400=""),"",ABS(I400-J400)*U400)</f>
        <v/>
      </c>
      <c r="AA400" s="113">
        <f>IF(OR(X400="",Z400="",Z400=0),"",X400/Z400)</f>
        <v/>
      </c>
      <c r="AB400" s="114">
        <f>IF(OR(I400="",J400="",K400="",I400=J400),"",ABS(K400-I400)/ABS(I400-J400))</f>
        <v/>
      </c>
      <c r="AC400" s="51">
        <f>IF(OR(B400="",D400="",H400="",I400=""),"",IF(L400="","Ouvert",IF(X400&gt;0,"Gagné",IF(X400&lt;0,"Perdu","Neutre"))))</f>
        <v/>
      </c>
      <c r="AD400" s="115">
        <f>IF(X400="","",IF(C400="",B400,C400))</f>
        <v/>
      </c>
      <c r="AE400" s="109">
        <f>IF(B400="","",WEEKDAY(B400,2))</f>
        <v/>
      </c>
      <c r="AF400" s="112">
        <f>IF(X400="","",'Paramètres'!$C$9+SUM($X$6:X400))</f>
        <v/>
      </c>
      <c r="AG400" s="112">
        <f>IF(AF400="","",MAX('Paramètres'!$C$9,MAX($AF$6:AF400)))</f>
        <v/>
      </c>
      <c r="AH400" s="116">
        <f>IF(AF400="","",AF400/AG400-1)</f>
        <v/>
      </c>
      <c r="AI400" s="109">
        <f>IF(X400="","",IF(X400&gt;0,IF(N(AI399)&gt;0,N(AI399)+1,1),IF(X400&lt;0,IF(N(AI399)&lt;0,N(AI399)-1,-1),0)))</f>
        <v/>
      </c>
      <c r="AJ400" s="116">
        <f>IF(Z400="","",IFERROR(Z400/('Paramètres'!$C$9+SUM($X$5:X399)),""))</f>
        <v/>
      </c>
      <c r="AK400" s="109">
        <f>IF(AC400="Ouvert",COUNTIF($AC$6:AC400,"Ouvert"),"")</f>
        <v/>
      </c>
    </row>
    <row r="401" ht="19" customHeight="1">
      <c r="A401" s="104">
        <f>IF(B401="","",ROW()-5)</f>
        <v/>
      </c>
      <c r="B401" s="61" t="n"/>
      <c r="C401" s="61" t="n"/>
      <c r="D401" s="105" t="n"/>
      <c r="E401" s="49" t="n"/>
      <c r="F401" s="105" t="n"/>
      <c r="G401" s="49" t="n"/>
      <c r="H401" s="106" t="n"/>
      <c r="I401" s="107" t="n"/>
      <c r="J401" s="107" t="n"/>
      <c r="K401" s="107" t="n"/>
      <c r="L401" s="107" t="n"/>
      <c r="M401" s="106" t="n"/>
      <c r="N401" s="62" t="n"/>
      <c r="O401" s="49" t="n"/>
      <c r="P401" s="49" t="n"/>
      <c r="Q401" s="105" t="n"/>
      <c r="R401" s="105" t="n"/>
      <c r="S401" s="105" t="n"/>
      <c r="T401" s="105" t="n"/>
      <c r="U401" s="108">
        <f>IF(OR(H401="",I401="",I401=0),"",H401/I401)</f>
        <v/>
      </c>
      <c r="V401" s="109">
        <f>IF(OR(B401="",C401="",L401=""),"",MAX(0,C401-B401))</f>
        <v/>
      </c>
      <c r="W401" s="110">
        <f>IF(OR(L401="",U401=""),"",IF(E401="Short",(I401-L401)*U401,(L401-I401)*U401))</f>
        <v/>
      </c>
      <c r="X401" s="110">
        <f>IF(W401="","",W401-IF(M401="",0,M401))</f>
        <v/>
      </c>
      <c r="Y401" s="111">
        <f>IF(OR(X401="",H401="",H401=0),"",X401/H401)</f>
        <v/>
      </c>
      <c r="Z401" s="112">
        <f>IF(OR(I401="",J401="",U401=""),"",ABS(I401-J401)*U401)</f>
        <v/>
      </c>
      <c r="AA401" s="113">
        <f>IF(OR(X401="",Z401="",Z401=0),"",X401/Z401)</f>
        <v/>
      </c>
      <c r="AB401" s="114">
        <f>IF(OR(I401="",J401="",K401="",I401=J401),"",ABS(K401-I401)/ABS(I401-J401))</f>
        <v/>
      </c>
      <c r="AC401" s="51">
        <f>IF(OR(B401="",D401="",H401="",I401=""),"",IF(L401="","Ouvert",IF(X401&gt;0,"Gagné",IF(X401&lt;0,"Perdu","Neutre"))))</f>
        <v/>
      </c>
      <c r="AD401" s="115">
        <f>IF(X401="","",IF(C401="",B401,C401))</f>
        <v/>
      </c>
      <c r="AE401" s="109">
        <f>IF(B401="","",WEEKDAY(B401,2))</f>
        <v/>
      </c>
      <c r="AF401" s="112">
        <f>IF(X401="","",'Paramètres'!$C$9+SUM($X$6:X401))</f>
        <v/>
      </c>
      <c r="AG401" s="112">
        <f>IF(AF401="","",MAX('Paramètres'!$C$9,MAX($AF$6:AF401)))</f>
        <v/>
      </c>
      <c r="AH401" s="116">
        <f>IF(AF401="","",AF401/AG401-1)</f>
        <v/>
      </c>
      <c r="AI401" s="109">
        <f>IF(X401="","",IF(X401&gt;0,IF(N(AI400)&gt;0,N(AI400)+1,1),IF(X401&lt;0,IF(N(AI400)&lt;0,N(AI400)-1,-1),0)))</f>
        <v/>
      </c>
      <c r="AJ401" s="116">
        <f>IF(Z401="","",IFERROR(Z401/('Paramètres'!$C$9+SUM($X$5:X400)),""))</f>
        <v/>
      </c>
      <c r="AK401" s="109">
        <f>IF(AC401="Ouvert",COUNTIF($AC$6:AC401,"Ouvert"),"")</f>
        <v/>
      </c>
    </row>
    <row r="402" ht="19" customHeight="1">
      <c r="A402" s="104">
        <f>IF(B402="","",ROW()-5)</f>
        <v/>
      </c>
      <c r="B402" s="61" t="n"/>
      <c r="C402" s="61" t="n"/>
      <c r="D402" s="105" t="n"/>
      <c r="E402" s="49" t="n"/>
      <c r="F402" s="105" t="n"/>
      <c r="G402" s="49" t="n"/>
      <c r="H402" s="106" t="n"/>
      <c r="I402" s="107" t="n"/>
      <c r="J402" s="107" t="n"/>
      <c r="K402" s="107" t="n"/>
      <c r="L402" s="107" t="n"/>
      <c r="M402" s="106" t="n"/>
      <c r="N402" s="62" t="n"/>
      <c r="O402" s="49" t="n"/>
      <c r="P402" s="49" t="n"/>
      <c r="Q402" s="105" t="n"/>
      <c r="R402" s="105" t="n"/>
      <c r="S402" s="105" t="n"/>
      <c r="T402" s="105" t="n"/>
      <c r="U402" s="108">
        <f>IF(OR(H402="",I402="",I402=0),"",H402/I402)</f>
        <v/>
      </c>
      <c r="V402" s="109">
        <f>IF(OR(B402="",C402="",L402=""),"",MAX(0,C402-B402))</f>
        <v/>
      </c>
      <c r="W402" s="110">
        <f>IF(OR(L402="",U402=""),"",IF(E402="Short",(I402-L402)*U402,(L402-I402)*U402))</f>
        <v/>
      </c>
      <c r="X402" s="110">
        <f>IF(W402="","",W402-IF(M402="",0,M402))</f>
        <v/>
      </c>
      <c r="Y402" s="111">
        <f>IF(OR(X402="",H402="",H402=0),"",X402/H402)</f>
        <v/>
      </c>
      <c r="Z402" s="112">
        <f>IF(OR(I402="",J402="",U402=""),"",ABS(I402-J402)*U402)</f>
        <v/>
      </c>
      <c r="AA402" s="113">
        <f>IF(OR(X402="",Z402="",Z402=0),"",X402/Z402)</f>
        <v/>
      </c>
      <c r="AB402" s="114">
        <f>IF(OR(I402="",J402="",K402="",I402=J402),"",ABS(K402-I402)/ABS(I402-J402))</f>
        <v/>
      </c>
      <c r="AC402" s="51">
        <f>IF(OR(B402="",D402="",H402="",I402=""),"",IF(L402="","Ouvert",IF(X402&gt;0,"Gagné",IF(X402&lt;0,"Perdu","Neutre"))))</f>
        <v/>
      </c>
      <c r="AD402" s="115">
        <f>IF(X402="","",IF(C402="",B402,C402))</f>
        <v/>
      </c>
      <c r="AE402" s="109">
        <f>IF(B402="","",WEEKDAY(B402,2))</f>
        <v/>
      </c>
      <c r="AF402" s="112">
        <f>IF(X402="","",'Paramètres'!$C$9+SUM($X$6:X402))</f>
        <v/>
      </c>
      <c r="AG402" s="112">
        <f>IF(AF402="","",MAX('Paramètres'!$C$9,MAX($AF$6:AF402)))</f>
        <v/>
      </c>
      <c r="AH402" s="116">
        <f>IF(AF402="","",AF402/AG402-1)</f>
        <v/>
      </c>
      <c r="AI402" s="109">
        <f>IF(X402="","",IF(X402&gt;0,IF(N(AI401)&gt;0,N(AI401)+1,1),IF(X402&lt;0,IF(N(AI401)&lt;0,N(AI401)-1,-1),0)))</f>
        <v/>
      </c>
      <c r="AJ402" s="116">
        <f>IF(Z402="","",IFERROR(Z402/('Paramètres'!$C$9+SUM($X$5:X401)),""))</f>
        <v/>
      </c>
      <c r="AK402" s="109">
        <f>IF(AC402="Ouvert",COUNTIF($AC$6:AC402,"Ouvert"),"")</f>
        <v/>
      </c>
    </row>
    <row r="403" ht="19" customHeight="1">
      <c r="A403" s="104">
        <f>IF(B403="","",ROW()-5)</f>
        <v/>
      </c>
      <c r="B403" s="61" t="n"/>
      <c r="C403" s="61" t="n"/>
      <c r="D403" s="105" t="n"/>
      <c r="E403" s="49" t="n"/>
      <c r="F403" s="105" t="n"/>
      <c r="G403" s="49" t="n"/>
      <c r="H403" s="106" t="n"/>
      <c r="I403" s="107" t="n"/>
      <c r="J403" s="107" t="n"/>
      <c r="K403" s="107" t="n"/>
      <c r="L403" s="107" t="n"/>
      <c r="M403" s="106" t="n"/>
      <c r="N403" s="62" t="n"/>
      <c r="O403" s="49" t="n"/>
      <c r="P403" s="49" t="n"/>
      <c r="Q403" s="105" t="n"/>
      <c r="R403" s="105" t="n"/>
      <c r="S403" s="105" t="n"/>
      <c r="T403" s="105" t="n"/>
      <c r="U403" s="108">
        <f>IF(OR(H403="",I403="",I403=0),"",H403/I403)</f>
        <v/>
      </c>
      <c r="V403" s="109">
        <f>IF(OR(B403="",C403="",L403=""),"",MAX(0,C403-B403))</f>
        <v/>
      </c>
      <c r="W403" s="110">
        <f>IF(OR(L403="",U403=""),"",IF(E403="Short",(I403-L403)*U403,(L403-I403)*U403))</f>
        <v/>
      </c>
      <c r="X403" s="110">
        <f>IF(W403="","",W403-IF(M403="",0,M403))</f>
        <v/>
      </c>
      <c r="Y403" s="111">
        <f>IF(OR(X403="",H403="",H403=0),"",X403/H403)</f>
        <v/>
      </c>
      <c r="Z403" s="112">
        <f>IF(OR(I403="",J403="",U403=""),"",ABS(I403-J403)*U403)</f>
        <v/>
      </c>
      <c r="AA403" s="113">
        <f>IF(OR(X403="",Z403="",Z403=0),"",X403/Z403)</f>
        <v/>
      </c>
      <c r="AB403" s="114">
        <f>IF(OR(I403="",J403="",K403="",I403=J403),"",ABS(K403-I403)/ABS(I403-J403))</f>
        <v/>
      </c>
      <c r="AC403" s="51">
        <f>IF(OR(B403="",D403="",H403="",I403=""),"",IF(L403="","Ouvert",IF(X403&gt;0,"Gagné",IF(X403&lt;0,"Perdu","Neutre"))))</f>
        <v/>
      </c>
      <c r="AD403" s="115">
        <f>IF(X403="","",IF(C403="",B403,C403))</f>
        <v/>
      </c>
      <c r="AE403" s="109">
        <f>IF(B403="","",WEEKDAY(B403,2))</f>
        <v/>
      </c>
      <c r="AF403" s="112">
        <f>IF(X403="","",'Paramètres'!$C$9+SUM($X$6:X403))</f>
        <v/>
      </c>
      <c r="AG403" s="112">
        <f>IF(AF403="","",MAX('Paramètres'!$C$9,MAX($AF$6:AF403)))</f>
        <v/>
      </c>
      <c r="AH403" s="116">
        <f>IF(AF403="","",AF403/AG403-1)</f>
        <v/>
      </c>
      <c r="AI403" s="109">
        <f>IF(X403="","",IF(X403&gt;0,IF(N(AI402)&gt;0,N(AI402)+1,1),IF(X403&lt;0,IF(N(AI402)&lt;0,N(AI402)-1,-1),0)))</f>
        <v/>
      </c>
      <c r="AJ403" s="116">
        <f>IF(Z403="","",IFERROR(Z403/('Paramètres'!$C$9+SUM($X$5:X402)),""))</f>
        <v/>
      </c>
      <c r="AK403" s="109">
        <f>IF(AC403="Ouvert",COUNTIF($AC$6:AC403,"Ouvert"),"")</f>
        <v/>
      </c>
    </row>
    <row r="404" ht="19" customHeight="1">
      <c r="A404" s="104">
        <f>IF(B404="","",ROW()-5)</f>
        <v/>
      </c>
      <c r="B404" s="61" t="n"/>
      <c r="C404" s="61" t="n"/>
      <c r="D404" s="105" t="n"/>
      <c r="E404" s="49" t="n"/>
      <c r="F404" s="105" t="n"/>
      <c r="G404" s="49" t="n"/>
      <c r="H404" s="106" t="n"/>
      <c r="I404" s="107" t="n"/>
      <c r="J404" s="107" t="n"/>
      <c r="K404" s="107" t="n"/>
      <c r="L404" s="107" t="n"/>
      <c r="M404" s="106" t="n"/>
      <c r="N404" s="62" t="n"/>
      <c r="O404" s="49" t="n"/>
      <c r="P404" s="49" t="n"/>
      <c r="Q404" s="105" t="n"/>
      <c r="R404" s="105" t="n"/>
      <c r="S404" s="105" t="n"/>
      <c r="T404" s="105" t="n"/>
      <c r="U404" s="108">
        <f>IF(OR(H404="",I404="",I404=0),"",H404/I404)</f>
        <v/>
      </c>
      <c r="V404" s="109">
        <f>IF(OR(B404="",C404="",L404=""),"",MAX(0,C404-B404))</f>
        <v/>
      </c>
      <c r="W404" s="110">
        <f>IF(OR(L404="",U404=""),"",IF(E404="Short",(I404-L404)*U404,(L404-I404)*U404))</f>
        <v/>
      </c>
      <c r="X404" s="110">
        <f>IF(W404="","",W404-IF(M404="",0,M404))</f>
        <v/>
      </c>
      <c r="Y404" s="111">
        <f>IF(OR(X404="",H404="",H404=0),"",X404/H404)</f>
        <v/>
      </c>
      <c r="Z404" s="112">
        <f>IF(OR(I404="",J404="",U404=""),"",ABS(I404-J404)*U404)</f>
        <v/>
      </c>
      <c r="AA404" s="113">
        <f>IF(OR(X404="",Z404="",Z404=0),"",X404/Z404)</f>
        <v/>
      </c>
      <c r="AB404" s="114">
        <f>IF(OR(I404="",J404="",K404="",I404=J404),"",ABS(K404-I404)/ABS(I404-J404))</f>
        <v/>
      </c>
      <c r="AC404" s="51">
        <f>IF(OR(B404="",D404="",H404="",I404=""),"",IF(L404="","Ouvert",IF(X404&gt;0,"Gagné",IF(X404&lt;0,"Perdu","Neutre"))))</f>
        <v/>
      </c>
      <c r="AD404" s="115">
        <f>IF(X404="","",IF(C404="",B404,C404))</f>
        <v/>
      </c>
      <c r="AE404" s="109">
        <f>IF(B404="","",WEEKDAY(B404,2))</f>
        <v/>
      </c>
      <c r="AF404" s="112">
        <f>IF(X404="","",'Paramètres'!$C$9+SUM($X$6:X404))</f>
        <v/>
      </c>
      <c r="AG404" s="112">
        <f>IF(AF404="","",MAX('Paramètres'!$C$9,MAX($AF$6:AF404)))</f>
        <v/>
      </c>
      <c r="AH404" s="116">
        <f>IF(AF404="","",AF404/AG404-1)</f>
        <v/>
      </c>
      <c r="AI404" s="109">
        <f>IF(X404="","",IF(X404&gt;0,IF(N(AI403)&gt;0,N(AI403)+1,1),IF(X404&lt;0,IF(N(AI403)&lt;0,N(AI403)-1,-1),0)))</f>
        <v/>
      </c>
      <c r="AJ404" s="116">
        <f>IF(Z404="","",IFERROR(Z404/('Paramètres'!$C$9+SUM($X$5:X403)),""))</f>
        <v/>
      </c>
      <c r="AK404" s="109">
        <f>IF(AC404="Ouvert",COUNTIF($AC$6:AC404,"Ouvert"),"")</f>
        <v/>
      </c>
    </row>
    <row r="405" ht="19" customHeight="1">
      <c r="A405" s="104">
        <f>IF(B405="","",ROW()-5)</f>
        <v/>
      </c>
      <c r="B405" s="61" t="n"/>
      <c r="C405" s="61" t="n"/>
      <c r="D405" s="105" t="n"/>
      <c r="E405" s="49" t="n"/>
      <c r="F405" s="105" t="n"/>
      <c r="G405" s="49" t="n"/>
      <c r="H405" s="106" t="n"/>
      <c r="I405" s="107" t="n"/>
      <c r="J405" s="107" t="n"/>
      <c r="K405" s="107" t="n"/>
      <c r="L405" s="107" t="n"/>
      <c r="M405" s="106" t="n"/>
      <c r="N405" s="62" t="n"/>
      <c r="O405" s="49" t="n"/>
      <c r="P405" s="49" t="n"/>
      <c r="Q405" s="105" t="n"/>
      <c r="R405" s="105" t="n"/>
      <c r="S405" s="105" t="n"/>
      <c r="T405" s="105" t="n"/>
      <c r="U405" s="108">
        <f>IF(OR(H405="",I405="",I405=0),"",H405/I405)</f>
        <v/>
      </c>
      <c r="V405" s="109">
        <f>IF(OR(B405="",C405="",L405=""),"",MAX(0,C405-B405))</f>
        <v/>
      </c>
      <c r="W405" s="110">
        <f>IF(OR(L405="",U405=""),"",IF(E405="Short",(I405-L405)*U405,(L405-I405)*U405))</f>
        <v/>
      </c>
      <c r="X405" s="110">
        <f>IF(W405="","",W405-IF(M405="",0,M405))</f>
        <v/>
      </c>
      <c r="Y405" s="111">
        <f>IF(OR(X405="",H405="",H405=0),"",X405/H405)</f>
        <v/>
      </c>
      <c r="Z405" s="112">
        <f>IF(OR(I405="",J405="",U405=""),"",ABS(I405-J405)*U405)</f>
        <v/>
      </c>
      <c r="AA405" s="113">
        <f>IF(OR(X405="",Z405="",Z405=0),"",X405/Z405)</f>
        <v/>
      </c>
      <c r="AB405" s="114">
        <f>IF(OR(I405="",J405="",K405="",I405=J405),"",ABS(K405-I405)/ABS(I405-J405))</f>
        <v/>
      </c>
      <c r="AC405" s="51">
        <f>IF(OR(B405="",D405="",H405="",I405=""),"",IF(L405="","Ouvert",IF(X405&gt;0,"Gagné",IF(X405&lt;0,"Perdu","Neutre"))))</f>
        <v/>
      </c>
      <c r="AD405" s="115">
        <f>IF(X405="","",IF(C405="",B405,C405))</f>
        <v/>
      </c>
      <c r="AE405" s="109">
        <f>IF(B405="","",WEEKDAY(B405,2))</f>
        <v/>
      </c>
      <c r="AF405" s="112">
        <f>IF(X405="","",'Paramètres'!$C$9+SUM($X$6:X405))</f>
        <v/>
      </c>
      <c r="AG405" s="112">
        <f>IF(AF405="","",MAX('Paramètres'!$C$9,MAX($AF$6:AF405)))</f>
        <v/>
      </c>
      <c r="AH405" s="116">
        <f>IF(AF405="","",AF405/AG405-1)</f>
        <v/>
      </c>
      <c r="AI405" s="109">
        <f>IF(X405="","",IF(X405&gt;0,IF(N(AI404)&gt;0,N(AI404)+1,1),IF(X405&lt;0,IF(N(AI404)&lt;0,N(AI404)-1,-1),0)))</f>
        <v/>
      </c>
      <c r="AJ405" s="116">
        <f>IF(Z405="","",IFERROR(Z405/('Paramètres'!$C$9+SUM($X$5:X404)),""))</f>
        <v/>
      </c>
      <c r="AK405" s="109">
        <f>IF(AC405="Ouvert",COUNTIF($AC$6:AC405,"Ouvert"),"")</f>
        <v/>
      </c>
    </row>
    <row r="406" ht="19" customHeight="1">
      <c r="A406" s="104">
        <f>IF(B406="","",ROW()-5)</f>
        <v/>
      </c>
      <c r="B406" s="61" t="n"/>
      <c r="C406" s="61" t="n"/>
      <c r="D406" s="105" t="n"/>
      <c r="E406" s="49" t="n"/>
      <c r="F406" s="105" t="n"/>
      <c r="G406" s="49" t="n"/>
      <c r="H406" s="106" t="n"/>
      <c r="I406" s="107" t="n"/>
      <c r="J406" s="107" t="n"/>
      <c r="K406" s="107" t="n"/>
      <c r="L406" s="107" t="n"/>
      <c r="M406" s="106" t="n"/>
      <c r="N406" s="62" t="n"/>
      <c r="O406" s="49" t="n"/>
      <c r="P406" s="49" t="n"/>
      <c r="Q406" s="105" t="n"/>
      <c r="R406" s="105" t="n"/>
      <c r="S406" s="105" t="n"/>
      <c r="T406" s="105" t="n"/>
      <c r="U406" s="108">
        <f>IF(OR(H406="",I406="",I406=0),"",H406/I406)</f>
        <v/>
      </c>
      <c r="V406" s="109">
        <f>IF(OR(B406="",C406="",L406=""),"",MAX(0,C406-B406))</f>
        <v/>
      </c>
      <c r="W406" s="110">
        <f>IF(OR(L406="",U406=""),"",IF(E406="Short",(I406-L406)*U406,(L406-I406)*U406))</f>
        <v/>
      </c>
      <c r="X406" s="110">
        <f>IF(W406="","",W406-IF(M406="",0,M406))</f>
        <v/>
      </c>
      <c r="Y406" s="111">
        <f>IF(OR(X406="",H406="",H406=0),"",X406/H406)</f>
        <v/>
      </c>
      <c r="Z406" s="112">
        <f>IF(OR(I406="",J406="",U406=""),"",ABS(I406-J406)*U406)</f>
        <v/>
      </c>
      <c r="AA406" s="113">
        <f>IF(OR(X406="",Z406="",Z406=0),"",X406/Z406)</f>
        <v/>
      </c>
      <c r="AB406" s="114">
        <f>IF(OR(I406="",J406="",K406="",I406=J406),"",ABS(K406-I406)/ABS(I406-J406))</f>
        <v/>
      </c>
      <c r="AC406" s="51">
        <f>IF(OR(B406="",D406="",H406="",I406=""),"",IF(L406="","Ouvert",IF(X406&gt;0,"Gagné",IF(X406&lt;0,"Perdu","Neutre"))))</f>
        <v/>
      </c>
      <c r="AD406" s="115">
        <f>IF(X406="","",IF(C406="",B406,C406))</f>
        <v/>
      </c>
      <c r="AE406" s="109">
        <f>IF(B406="","",WEEKDAY(B406,2))</f>
        <v/>
      </c>
      <c r="AF406" s="112">
        <f>IF(X406="","",'Paramètres'!$C$9+SUM($X$6:X406))</f>
        <v/>
      </c>
      <c r="AG406" s="112">
        <f>IF(AF406="","",MAX('Paramètres'!$C$9,MAX($AF$6:AF406)))</f>
        <v/>
      </c>
      <c r="AH406" s="116">
        <f>IF(AF406="","",AF406/AG406-1)</f>
        <v/>
      </c>
      <c r="AI406" s="109">
        <f>IF(X406="","",IF(X406&gt;0,IF(N(AI405)&gt;0,N(AI405)+1,1),IF(X406&lt;0,IF(N(AI405)&lt;0,N(AI405)-1,-1),0)))</f>
        <v/>
      </c>
      <c r="AJ406" s="116">
        <f>IF(Z406="","",IFERROR(Z406/('Paramètres'!$C$9+SUM($X$5:X405)),""))</f>
        <v/>
      </c>
      <c r="AK406" s="109">
        <f>IF(AC406="Ouvert",COUNTIF($AC$6:AC406,"Ouvert"),"")</f>
        <v/>
      </c>
    </row>
    <row r="407" ht="19" customHeight="1">
      <c r="A407" s="104">
        <f>IF(B407="","",ROW()-5)</f>
        <v/>
      </c>
      <c r="B407" s="61" t="n"/>
      <c r="C407" s="61" t="n"/>
      <c r="D407" s="105" t="n"/>
      <c r="E407" s="49" t="n"/>
      <c r="F407" s="105" t="n"/>
      <c r="G407" s="49" t="n"/>
      <c r="H407" s="106" t="n"/>
      <c r="I407" s="107" t="n"/>
      <c r="J407" s="107" t="n"/>
      <c r="K407" s="107" t="n"/>
      <c r="L407" s="107" t="n"/>
      <c r="M407" s="106" t="n"/>
      <c r="N407" s="62" t="n"/>
      <c r="O407" s="49" t="n"/>
      <c r="P407" s="49" t="n"/>
      <c r="Q407" s="105" t="n"/>
      <c r="R407" s="105" t="n"/>
      <c r="S407" s="105" t="n"/>
      <c r="T407" s="105" t="n"/>
      <c r="U407" s="108">
        <f>IF(OR(H407="",I407="",I407=0),"",H407/I407)</f>
        <v/>
      </c>
      <c r="V407" s="109">
        <f>IF(OR(B407="",C407="",L407=""),"",MAX(0,C407-B407))</f>
        <v/>
      </c>
      <c r="W407" s="110">
        <f>IF(OR(L407="",U407=""),"",IF(E407="Short",(I407-L407)*U407,(L407-I407)*U407))</f>
        <v/>
      </c>
      <c r="X407" s="110">
        <f>IF(W407="","",W407-IF(M407="",0,M407))</f>
        <v/>
      </c>
      <c r="Y407" s="111">
        <f>IF(OR(X407="",H407="",H407=0),"",X407/H407)</f>
        <v/>
      </c>
      <c r="Z407" s="112">
        <f>IF(OR(I407="",J407="",U407=""),"",ABS(I407-J407)*U407)</f>
        <v/>
      </c>
      <c r="AA407" s="113">
        <f>IF(OR(X407="",Z407="",Z407=0),"",X407/Z407)</f>
        <v/>
      </c>
      <c r="AB407" s="114">
        <f>IF(OR(I407="",J407="",K407="",I407=J407),"",ABS(K407-I407)/ABS(I407-J407))</f>
        <v/>
      </c>
      <c r="AC407" s="51">
        <f>IF(OR(B407="",D407="",H407="",I407=""),"",IF(L407="","Ouvert",IF(X407&gt;0,"Gagné",IF(X407&lt;0,"Perdu","Neutre"))))</f>
        <v/>
      </c>
      <c r="AD407" s="115">
        <f>IF(X407="","",IF(C407="",B407,C407))</f>
        <v/>
      </c>
      <c r="AE407" s="109">
        <f>IF(B407="","",WEEKDAY(B407,2))</f>
        <v/>
      </c>
      <c r="AF407" s="112">
        <f>IF(X407="","",'Paramètres'!$C$9+SUM($X$6:X407))</f>
        <v/>
      </c>
      <c r="AG407" s="112">
        <f>IF(AF407="","",MAX('Paramètres'!$C$9,MAX($AF$6:AF407)))</f>
        <v/>
      </c>
      <c r="AH407" s="116">
        <f>IF(AF407="","",AF407/AG407-1)</f>
        <v/>
      </c>
      <c r="AI407" s="109">
        <f>IF(X407="","",IF(X407&gt;0,IF(N(AI406)&gt;0,N(AI406)+1,1),IF(X407&lt;0,IF(N(AI406)&lt;0,N(AI406)-1,-1),0)))</f>
        <v/>
      </c>
      <c r="AJ407" s="116">
        <f>IF(Z407="","",IFERROR(Z407/('Paramètres'!$C$9+SUM($X$5:X406)),""))</f>
        <v/>
      </c>
      <c r="AK407" s="109">
        <f>IF(AC407="Ouvert",COUNTIF($AC$6:AC407,"Ouvert"),"")</f>
        <v/>
      </c>
    </row>
    <row r="408" ht="19" customHeight="1">
      <c r="A408" s="104">
        <f>IF(B408="","",ROW()-5)</f>
        <v/>
      </c>
      <c r="B408" s="61" t="n"/>
      <c r="C408" s="61" t="n"/>
      <c r="D408" s="105" t="n"/>
      <c r="E408" s="49" t="n"/>
      <c r="F408" s="105" t="n"/>
      <c r="G408" s="49" t="n"/>
      <c r="H408" s="106" t="n"/>
      <c r="I408" s="107" t="n"/>
      <c r="J408" s="107" t="n"/>
      <c r="K408" s="107" t="n"/>
      <c r="L408" s="107" t="n"/>
      <c r="M408" s="106" t="n"/>
      <c r="N408" s="62" t="n"/>
      <c r="O408" s="49" t="n"/>
      <c r="P408" s="49" t="n"/>
      <c r="Q408" s="105" t="n"/>
      <c r="R408" s="105" t="n"/>
      <c r="S408" s="105" t="n"/>
      <c r="T408" s="105" t="n"/>
      <c r="U408" s="108">
        <f>IF(OR(H408="",I408="",I408=0),"",H408/I408)</f>
        <v/>
      </c>
      <c r="V408" s="109">
        <f>IF(OR(B408="",C408="",L408=""),"",MAX(0,C408-B408))</f>
        <v/>
      </c>
      <c r="W408" s="110">
        <f>IF(OR(L408="",U408=""),"",IF(E408="Short",(I408-L408)*U408,(L408-I408)*U408))</f>
        <v/>
      </c>
      <c r="X408" s="110">
        <f>IF(W408="","",W408-IF(M408="",0,M408))</f>
        <v/>
      </c>
      <c r="Y408" s="111">
        <f>IF(OR(X408="",H408="",H408=0),"",X408/H408)</f>
        <v/>
      </c>
      <c r="Z408" s="112">
        <f>IF(OR(I408="",J408="",U408=""),"",ABS(I408-J408)*U408)</f>
        <v/>
      </c>
      <c r="AA408" s="113">
        <f>IF(OR(X408="",Z408="",Z408=0),"",X408/Z408)</f>
        <v/>
      </c>
      <c r="AB408" s="114">
        <f>IF(OR(I408="",J408="",K408="",I408=J408),"",ABS(K408-I408)/ABS(I408-J408))</f>
        <v/>
      </c>
      <c r="AC408" s="51">
        <f>IF(OR(B408="",D408="",H408="",I408=""),"",IF(L408="","Ouvert",IF(X408&gt;0,"Gagné",IF(X408&lt;0,"Perdu","Neutre"))))</f>
        <v/>
      </c>
      <c r="AD408" s="115">
        <f>IF(X408="","",IF(C408="",B408,C408))</f>
        <v/>
      </c>
      <c r="AE408" s="109">
        <f>IF(B408="","",WEEKDAY(B408,2))</f>
        <v/>
      </c>
      <c r="AF408" s="112">
        <f>IF(X408="","",'Paramètres'!$C$9+SUM($X$6:X408))</f>
        <v/>
      </c>
      <c r="AG408" s="112">
        <f>IF(AF408="","",MAX('Paramètres'!$C$9,MAX($AF$6:AF408)))</f>
        <v/>
      </c>
      <c r="AH408" s="116">
        <f>IF(AF408="","",AF408/AG408-1)</f>
        <v/>
      </c>
      <c r="AI408" s="109">
        <f>IF(X408="","",IF(X408&gt;0,IF(N(AI407)&gt;0,N(AI407)+1,1),IF(X408&lt;0,IF(N(AI407)&lt;0,N(AI407)-1,-1),0)))</f>
        <v/>
      </c>
      <c r="AJ408" s="116">
        <f>IF(Z408="","",IFERROR(Z408/('Paramètres'!$C$9+SUM($X$5:X407)),""))</f>
        <v/>
      </c>
      <c r="AK408" s="109">
        <f>IF(AC408="Ouvert",COUNTIF($AC$6:AC408,"Ouvert"),"")</f>
        <v/>
      </c>
    </row>
    <row r="409" ht="19" customHeight="1">
      <c r="A409" s="104">
        <f>IF(B409="","",ROW()-5)</f>
        <v/>
      </c>
      <c r="B409" s="61" t="n"/>
      <c r="C409" s="61" t="n"/>
      <c r="D409" s="105" t="n"/>
      <c r="E409" s="49" t="n"/>
      <c r="F409" s="105" t="n"/>
      <c r="G409" s="49" t="n"/>
      <c r="H409" s="106" t="n"/>
      <c r="I409" s="107" t="n"/>
      <c r="J409" s="107" t="n"/>
      <c r="K409" s="107" t="n"/>
      <c r="L409" s="107" t="n"/>
      <c r="M409" s="106" t="n"/>
      <c r="N409" s="62" t="n"/>
      <c r="O409" s="49" t="n"/>
      <c r="P409" s="49" t="n"/>
      <c r="Q409" s="105" t="n"/>
      <c r="R409" s="105" t="n"/>
      <c r="S409" s="105" t="n"/>
      <c r="T409" s="105" t="n"/>
      <c r="U409" s="108">
        <f>IF(OR(H409="",I409="",I409=0),"",H409/I409)</f>
        <v/>
      </c>
      <c r="V409" s="109">
        <f>IF(OR(B409="",C409="",L409=""),"",MAX(0,C409-B409))</f>
        <v/>
      </c>
      <c r="W409" s="110">
        <f>IF(OR(L409="",U409=""),"",IF(E409="Short",(I409-L409)*U409,(L409-I409)*U409))</f>
        <v/>
      </c>
      <c r="X409" s="110">
        <f>IF(W409="","",W409-IF(M409="",0,M409))</f>
        <v/>
      </c>
      <c r="Y409" s="111">
        <f>IF(OR(X409="",H409="",H409=0),"",X409/H409)</f>
        <v/>
      </c>
      <c r="Z409" s="112">
        <f>IF(OR(I409="",J409="",U409=""),"",ABS(I409-J409)*U409)</f>
        <v/>
      </c>
      <c r="AA409" s="113">
        <f>IF(OR(X409="",Z409="",Z409=0),"",X409/Z409)</f>
        <v/>
      </c>
      <c r="AB409" s="114">
        <f>IF(OR(I409="",J409="",K409="",I409=J409),"",ABS(K409-I409)/ABS(I409-J409))</f>
        <v/>
      </c>
      <c r="AC409" s="51">
        <f>IF(OR(B409="",D409="",H409="",I409=""),"",IF(L409="","Ouvert",IF(X409&gt;0,"Gagné",IF(X409&lt;0,"Perdu","Neutre"))))</f>
        <v/>
      </c>
      <c r="AD409" s="115">
        <f>IF(X409="","",IF(C409="",B409,C409))</f>
        <v/>
      </c>
      <c r="AE409" s="109">
        <f>IF(B409="","",WEEKDAY(B409,2))</f>
        <v/>
      </c>
      <c r="AF409" s="112">
        <f>IF(X409="","",'Paramètres'!$C$9+SUM($X$6:X409))</f>
        <v/>
      </c>
      <c r="AG409" s="112">
        <f>IF(AF409="","",MAX('Paramètres'!$C$9,MAX($AF$6:AF409)))</f>
        <v/>
      </c>
      <c r="AH409" s="116">
        <f>IF(AF409="","",AF409/AG409-1)</f>
        <v/>
      </c>
      <c r="AI409" s="109">
        <f>IF(X409="","",IF(X409&gt;0,IF(N(AI408)&gt;0,N(AI408)+1,1),IF(X409&lt;0,IF(N(AI408)&lt;0,N(AI408)-1,-1),0)))</f>
        <v/>
      </c>
      <c r="AJ409" s="116">
        <f>IF(Z409="","",IFERROR(Z409/('Paramètres'!$C$9+SUM($X$5:X408)),""))</f>
        <v/>
      </c>
      <c r="AK409" s="109">
        <f>IF(AC409="Ouvert",COUNTIF($AC$6:AC409,"Ouvert"),"")</f>
        <v/>
      </c>
    </row>
    <row r="410" ht="19" customHeight="1">
      <c r="A410" s="104">
        <f>IF(B410="","",ROW()-5)</f>
        <v/>
      </c>
      <c r="B410" s="61" t="n"/>
      <c r="C410" s="61" t="n"/>
      <c r="D410" s="105" t="n"/>
      <c r="E410" s="49" t="n"/>
      <c r="F410" s="105" t="n"/>
      <c r="G410" s="49" t="n"/>
      <c r="H410" s="106" t="n"/>
      <c r="I410" s="107" t="n"/>
      <c r="J410" s="107" t="n"/>
      <c r="K410" s="107" t="n"/>
      <c r="L410" s="107" t="n"/>
      <c r="M410" s="106" t="n"/>
      <c r="N410" s="62" t="n"/>
      <c r="O410" s="49" t="n"/>
      <c r="P410" s="49" t="n"/>
      <c r="Q410" s="105" t="n"/>
      <c r="R410" s="105" t="n"/>
      <c r="S410" s="105" t="n"/>
      <c r="T410" s="105" t="n"/>
      <c r="U410" s="108">
        <f>IF(OR(H410="",I410="",I410=0),"",H410/I410)</f>
        <v/>
      </c>
      <c r="V410" s="109">
        <f>IF(OR(B410="",C410="",L410=""),"",MAX(0,C410-B410))</f>
        <v/>
      </c>
      <c r="W410" s="110">
        <f>IF(OR(L410="",U410=""),"",IF(E410="Short",(I410-L410)*U410,(L410-I410)*U410))</f>
        <v/>
      </c>
      <c r="X410" s="110">
        <f>IF(W410="","",W410-IF(M410="",0,M410))</f>
        <v/>
      </c>
      <c r="Y410" s="111">
        <f>IF(OR(X410="",H410="",H410=0),"",X410/H410)</f>
        <v/>
      </c>
      <c r="Z410" s="112">
        <f>IF(OR(I410="",J410="",U410=""),"",ABS(I410-J410)*U410)</f>
        <v/>
      </c>
      <c r="AA410" s="113">
        <f>IF(OR(X410="",Z410="",Z410=0),"",X410/Z410)</f>
        <v/>
      </c>
      <c r="AB410" s="114">
        <f>IF(OR(I410="",J410="",K410="",I410=J410),"",ABS(K410-I410)/ABS(I410-J410))</f>
        <v/>
      </c>
      <c r="AC410" s="51">
        <f>IF(OR(B410="",D410="",H410="",I410=""),"",IF(L410="","Ouvert",IF(X410&gt;0,"Gagné",IF(X410&lt;0,"Perdu","Neutre"))))</f>
        <v/>
      </c>
      <c r="AD410" s="115">
        <f>IF(X410="","",IF(C410="",B410,C410))</f>
        <v/>
      </c>
      <c r="AE410" s="109">
        <f>IF(B410="","",WEEKDAY(B410,2))</f>
        <v/>
      </c>
      <c r="AF410" s="112">
        <f>IF(X410="","",'Paramètres'!$C$9+SUM($X$6:X410))</f>
        <v/>
      </c>
      <c r="AG410" s="112">
        <f>IF(AF410="","",MAX('Paramètres'!$C$9,MAX($AF$6:AF410)))</f>
        <v/>
      </c>
      <c r="AH410" s="116">
        <f>IF(AF410="","",AF410/AG410-1)</f>
        <v/>
      </c>
      <c r="AI410" s="109">
        <f>IF(X410="","",IF(X410&gt;0,IF(N(AI409)&gt;0,N(AI409)+1,1),IF(X410&lt;0,IF(N(AI409)&lt;0,N(AI409)-1,-1),0)))</f>
        <v/>
      </c>
      <c r="AJ410" s="116">
        <f>IF(Z410="","",IFERROR(Z410/('Paramètres'!$C$9+SUM($X$5:X409)),""))</f>
        <v/>
      </c>
      <c r="AK410" s="109">
        <f>IF(AC410="Ouvert",COUNTIF($AC$6:AC410,"Ouvert"),"")</f>
        <v/>
      </c>
    </row>
    <row r="411" ht="19" customHeight="1">
      <c r="A411" s="104">
        <f>IF(B411="","",ROW()-5)</f>
        <v/>
      </c>
      <c r="B411" s="61" t="n"/>
      <c r="C411" s="61" t="n"/>
      <c r="D411" s="105" t="n"/>
      <c r="E411" s="49" t="n"/>
      <c r="F411" s="105" t="n"/>
      <c r="G411" s="49" t="n"/>
      <c r="H411" s="106" t="n"/>
      <c r="I411" s="107" t="n"/>
      <c r="J411" s="107" t="n"/>
      <c r="K411" s="107" t="n"/>
      <c r="L411" s="107" t="n"/>
      <c r="M411" s="106" t="n"/>
      <c r="N411" s="62" t="n"/>
      <c r="O411" s="49" t="n"/>
      <c r="P411" s="49" t="n"/>
      <c r="Q411" s="105" t="n"/>
      <c r="R411" s="105" t="n"/>
      <c r="S411" s="105" t="n"/>
      <c r="T411" s="105" t="n"/>
      <c r="U411" s="108">
        <f>IF(OR(H411="",I411="",I411=0),"",H411/I411)</f>
        <v/>
      </c>
      <c r="V411" s="109">
        <f>IF(OR(B411="",C411="",L411=""),"",MAX(0,C411-B411))</f>
        <v/>
      </c>
      <c r="W411" s="110">
        <f>IF(OR(L411="",U411=""),"",IF(E411="Short",(I411-L411)*U411,(L411-I411)*U411))</f>
        <v/>
      </c>
      <c r="X411" s="110">
        <f>IF(W411="","",W411-IF(M411="",0,M411))</f>
        <v/>
      </c>
      <c r="Y411" s="111">
        <f>IF(OR(X411="",H411="",H411=0),"",X411/H411)</f>
        <v/>
      </c>
      <c r="Z411" s="112">
        <f>IF(OR(I411="",J411="",U411=""),"",ABS(I411-J411)*U411)</f>
        <v/>
      </c>
      <c r="AA411" s="113">
        <f>IF(OR(X411="",Z411="",Z411=0),"",X411/Z411)</f>
        <v/>
      </c>
      <c r="AB411" s="114">
        <f>IF(OR(I411="",J411="",K411="",I411=J411),"",ABS(K411-I411)/ABS(I411-J411))</f>
        <v/>
      </c>
      <c r="AC411" s="51">
        <f>IF(OR(B411="",D411="",H411="",I411=""),"",IF(L411="","Ouvert",IF(X411&gt;0,"Gagné",IF(X411&lt;0,"Perdu","Neutre"))))</f>
        <v/>
      </c>
      <c r="AD411" s="115">
        <f>IF(X411="","",IF(C411="",B411,C411))</f>
        <v/>
      </c>
      <c r="AE411" s="109">
        <f>IF(B411="","",WEEKDAY(B411,2))</f>
        <v/>
      </c>
      <c r="AF411" s="112">
        <f>IF(X411="","",'Paramètres'!$C$9+SUM($X$6:X411))</f>
        <v/>
      </c>
      <c r="AG411" s="112">
        <f>IF(AF411="","",MAX('Paramètres'!$C$9,MAX($AF$6:AF411)))</f>
        <v/>
      </c>
      <c r="AH411" s="116">
        <f>IF(AF411="","",AF411/AG411-1)</f>
        <v/>
      </c>
      <c r="AI411" s="109">
        <f>IF(X411="","",IF(X411&gt;0,IF(N(AI410)&gt;0,N(AI410)+1,1),IF(X411&lt;0,IF(N(AI410)&lt;0,N(AI410)-1,-1),0)))</f>
        <v/>
      </c>
      <c r="AJ411" s="116">
        <f>IF(Z411="","",IFERROR(Z411/('Paramètres'!$C$9+SUM($X$5:X410)),""))</f>
        <v/>
      </c>
      <c r="AK411" s="109">
        <f>IF(AC411="Ouvert",COUNTIF($AC$6:AC411,"Ouvert"),"")</f>
        <v/>
      </c>
    </row>
    <row r="412" ht="19" customHeight="1">
      <c r="A412" s="104">
        <f>IF(B412="","",ROW()-5)</f>
        <v/>
      </c>
      <c r="B412" s="61" t="n"/>
      <c r="C412" s="61" t="n"/>
      <c r="D412" s="105" t="n"/>
      <c r="E412" s="49" t="n"/>
      <c r="F412" s="105" t="n"/>
      <c r="G412" s="49" t="n"/>
      <c r="H412" s="106" t="n"/>
      <c r="I412" s="107" t="n"/>
      <c r="J412" s="107" t="n"/>
      <c r="K412" s="107" t="n"/>
      <c r="L412" s="107" t="n"/>
      <c r="M412" s="106" t="n"/>
      <c r="N412" s="62" t="n"/>
      <c r="O412" s="49" t="n"/>
      <c r="P412" s="49" t="n"/>
      <c r="Q412" s="105" t="n"/>
      <c r="R412" s="105" t="n"/>
      <c r="S412" s="105" t="n"/>
      <c r="T412" s="105" t="n"/>
      <c r="U412" s="108">
        <f>IF(OR(H412="",I412="",I412=0),"",H412/I412)</f>
        <v/>
      </c>
      <c r="V412" s="109">
        <f>IF(OR(B412="",C412="",L412=""),"",MAX(0,C412-B412))</f>
        <v/>
      </c>
      <c r="W412" s="110">
        <f>IF(OR(L412="",U412=""),"",IF(E412="Short",(I412-L412)*U412,(L412-I412)*U412))</f>
        <v/>
      </c>
      <c r="X412" s="110">
        <f>IF(W412="","",W412-IF(M412="",0,M412))</f>
        <v/>
      </c>
      <c r="Y412" s="111">
        <f>IF(OR(X412="",H412="",H412=0),"",X412/H412)</f>
        <v/>
      </c>
      <c r="Z412" s="112">
        <f>IF(OR(I412="",J412="",U412=""),"",ABS(I412-J412)*U412)</f>
        <v/>
      </c>
      <c r="AA412" s="113">
        <f>IF(OR(X412="",Z412="",Z412=0),"",X412/Z412)</f>
        <v/>
      </c>
      <c r="AB412" s="114">
        <f>IF(OR(I412="",J412="",K412="",I412=J412),"",ABS(K412-I412)/ABS(I412-J412))</f>
        <v/>
      </c>
      <c r="AC412" s="51">
        <f>IF(OR(B412="",D412="",H412="",I412=""),"",IF(L412="","Ouvert",IF(X412&gt;0,"Gagné",IF(X412&lt;0,"Perdu","Neutre"))))</f>
        <v/>
      </c>
      <c r="AD412" s="115">
        <f>IF(X412="","",IF(C412="",B412,C412))</f>
        <v/>
      </c>
      <c r="AE412" s="109">
        <f>IF(B412="","",WEEKDAY(B412,2))</f>
        <v/>
      </c>
      <c r="AF412" s="112">
        <f>IF(X412="","",'Paramètres'!$C$9+SUM($X$6:X412))</f>
        <v/>
      </c>
      <c r="AG412" s="112">
        <f>IF(AF412="","",MAX('Paramètres'!$C$9,MAX($AF$6:AF412)))</f>
        <v/>
      </c>
      <c r="AH412" s="116">
        <f>IF(AF412="","",AF412/AG412-1)</f>
        <v/>
      </c>
      <c r="AI412" s="109">
        <f>IF(X412="","",IF(X412&gt;0,IF(N(AI411)&gt;0,N(AI411)+1,1),IF(X412&lt;0,IF(N(AI411)&lt;0,N(AI411)-1,-1),0)))</f>
        <v/>
      </c>
      <c r="AJ412" s="116">
        <f>IF(Z412="","",IFERROR(Z412/('Paramètres'!$C$9+SUM($X$5:X411)),""))</f>
        <v/>
      </c>
      <c r="AK412" s="109">
        <f>IF(AC412="Ouvert",COUNTIF($AC$6:AC412,"Ouvert"),"")</f>
        <v/>
      </c>
    </row>
    <row r="413" ht="19" customHeight="1">
      <c r="A413" s="104">
        <f>IF(B413="","",ROW()-5)</f>
        <v/>
      </c>
      <c r="B413" s="61" t="n"/>
      <c r="C413" s="61" t="n"/>
      <c r="D413" s="105" t="n"/>
      <c r="E413" s="49" t="n"/>
      <c r="F413" s="105" t="n"/>
      <c r="G413" s="49" t="n"/>
      <c r="H413" s="106" t="n"/>
      <c r="I413" s="107" t="n"/>
      <c r="J413" s="107" t="n"/>
      <c r="K413" s="107" t="n"/>
      <c r="L413" s="107" t="n"/>
      <c r="M413" s="106" t="n"/>
      <c r="N413" s="62" t="n"/>
      <c r="O413" s="49" t="n"/>
      <c r="P413" s="49" t="n"/>
      <c r="Q413" s="105" t="n"/>
      <c r="R413" s="105" t="n"/>
      <c r="S413" s="105" t="n"/>
      <c r="T413" s="105" t="n"/>
      <c r="U413" s="108">
        <f>IF(OR(H413="",I413="",I413=0),"",H413/I413)</f>
        <v/>
      </c>
      <c r="V413" s="109">
        <f>IF(OR(B413="",C413="",L413=""),"",MAX(0,C413-B413))</f>
        <v/>
      </c>
      <c r="W413" s="110">
        <f>IF(OR(L413="",U413=""),"",IF(E413="Short",(I413-L413)*U413,(L413-I413)*U413))</f>
        <v/>
      </c>
      <c r="X413" s="110">
        <f>IF(W413="","",W413-IF(M413="",0,M413))</f>
        <v/>
      </c>
      <c r="Y413" s="111">
        <f>IF(OR(X413="",H413="",H413=0),"",X413/H413)</f>
        <v/>
      </c>
      <c r="Z413" s="112">
        <f>IF(OR(I413="",J413="",U413=""),"",ABS(I413-J413)*U413)</f>
        <v/>
      </c>
      <c r="AA413" s="113">
        <f>IF(OR(X413="",Z413="",Z413=0),"",X413/Z413)</f>
        <v/>
      </c>
      <c r="AB413" s="114">
        <f>IF(OR(I413="",J413="",K413="",I413=J413),"",ABS(K413-I413)/ABS(I413-J413))</f>
        <v/>
      </c>
      <c r="AC413" s="51">
        <f>IF(OR(B413="",D413="",H413="",I413=""),"",IF(L413="","Ouvert",IF(X413&gt;0,"Gagné",IF(X413&lt;0,"Perdu","Neutre"))))</f>
        <v/>
      </c>
      <c r="AD413" s="115">
        <f>IF(X413="","",IF(C413="",B413,C413))</f>
        <v/>
      </c>
      <c r="AE413" s="109">
        <f>IF(B413="","",WEEKDAY(B413,2))</f>
        <v/>
      </c>
      <c r="AF413" s="112">
        <f>IF(X413="","",'Paramètres'!$C$9+SUM($X$6:X413))</f>
        <v/>
      </c>
      <c r="AG413" s="112">
        <f>IF(AF413="","",MAX('Paramètres'!$C$9,MAX($AF$6:AF413)))</f>
        <v/>
      </c>
      <c r="AH413" s="116">
        <f>IF(AF413="","",AF413/AG413-1)</f>
        <v/>
      </c>
      <c r="AI413" s="109">
        <f>IF(X413="","",IF(X413&gt;0,IF(N(AI412)&gt;0,N(AI412)+1,1),IF(X413&lt;0,IF(N(AI412)&lt;0,N(AI412)-1,-1),0)))</f>
        <v/>
      </c>
      <c r="AJ413" s="116">
        <f>IF(Z413="","",IFERROR(Z413/('Paramètres'!$C$9+SUM($X$5:X412)),""))</f>
        <v/>
      </c>
      <c r="AK413" s="109">
        <f>IF(AC413="Ouvert",COUNTIF($AC$6:AC413,"Ouvert"),"")</f>
        <v/>
      </c>
    </row>
    <row r="414" ht="19" customHeight="1">
      <c r="A414" s="104">
        <f>IF(B414="","",ROW()-5)</f>
        <v/>
      </c>
      <c r="B414" s="61" t="n"/>
      <c r="C414" s="61" t="n"/>
      <c r="D414" s="105" t="n"/>
      <c r="E414" s="49" t="n"/>
      <c r="F414" s="105" t="n"/>
      <c r="G414" s="49" t="n"/>
      <c r="H414" s="106" t="n"/>
      <c r="I414" s="107" t="n"/>
      <c r="J414" s="107" t="n"/>
      <c r="K414" s="107" t="n"/>
      <c r="L414" s="107" t="n"/>
      <c r="M414" s="106" t="n"/>
      <c r="N414" s="62" t="n"/>
      <c r="O414" s="49" t="n"/>
      <c r="P414" s="49" t="n"/>
      <c r="Q414" s="105" t="n"/>
      <c r="R414" s="105" t="n"/>
      <c r="S414" s="105" t="n"/>
      <c r="T414" s="105" t="n"/>
      <c r="U414" s="108">
        <f>IF(OR(H414="",I414="",I414=0),"",H414/I414)</f>
        <v/>
      </c>
      <c r="V414" s="109">
        <f>IF(OR(B414="",C414="",L414=""),"",MAX(0,C414-B414))</f>
        <v/>
      </c>
      <c r="W414" s="110">
        <f>IF(OR(L414="",U414=""),"",IF(E414="Short",(I414-L414)*U414,(L414-I414)*U414))</f>
        <v/>
      </c>
      <c r="X414" s="110">
        <f>IF(W414="","",W414-IF(M414="",0,M414))</f>
        <v/>
      </c>
      <c r="Y414" s="111">
        <f>IF(OR(X414="",H414="",H414=0),"",X414/H414)</f>
        <v/>
      </c>
      <c r="Z414" s="112">
        <f>IF(OR(I414="",J414="",U414=""),"",ABS(I414-J414)*U414)</f>
        <v/>
      </c>
      <c r="AA414" s="113">
        <f>IF(OR(X414="",Z414="",Z414=0),"",X414/Z414)</f>
        <v/>
      </c>
      <c r="AB414" s="114">
        <f>IF(OR(I414="",J414="",K414="",I414=J414),"",ABS(K414-I414)/ABS(I414-J414))</f>
        <v/>
      </c>
      <c r="AC414" s="51">
        <f>IF(OR(B414="",D414="",H414="",I414=""),"",IF(L414="","Ouvert",IF(X414&gt;0,"Gagné",IF(X414&lt;0,"Perdu","Neutre"))))</f>
        <v/>
      </c>
      <c r="AD414" s="115">
        <f>IF(X414="","",IF(C414="",B414,C414))</f>
        <v/>
      </c>
      <c r="AE414" s="109">
        <f>IF(B414="","",WEEKDAY(B414,2))</f>
        <v/>
      </c>
      <c r="AF414" s="112">
        <f>IF(X414="","",'Paramètres'!$C$9+SUM($X$6:X414))</f>
        <v/>
      </c>
      <c r="AG414" s="112">
        <f>IF(AF414="","",MAX('Paramètres'!$C$9,MAX($AF$6:AF414)))</f>
        <v/>
      </c>
      <c r="AH414" s="116">
        <f>IF(AF414="","",AF414/AG414-1)</f>
        <v/>
      </c>
      <c r="AI414" s="109">
        <f>IF(X414="","",IF(X414&gt;0,IF(N(AI413)&gt;0,N(AI413)+1,1),IF(X414&lt;0,IF(N(AI413)&lt;0,N(AI413)-1,-1),0)))</f>
        <v/>
      </c>
      <c r="AJ414" s="116">
        <f>IF(Z414="","",IFERROR(Z414/('Paramètres'!$C$9+SUM($X$5:X413)),""))</f>
        <v/>
      </c>
      <c r="AK414" s="109">
        <f>IF(AC414="Ouvert",COUNTIF($AC$6:AC414,"Ouvert"),"")</f>
        <v/>
      </c>
    </row>
    <row r="415" ht="19" customHeight="1">
      <c r="A415" s="104">
        <f>IF(B415="","",ROW()-5)</f>
        <v/>
      </c>
      <c r="B415" s="61" t="n"/>
      <c r="C415" s="61" t="n"/>
      <c r="D415" s="105" t="n"/>
      <c r="E415" s="49" t="n"/>
      <c r="F415" s="105" t="n"/>
      <c r="G415" s="49" t="n"/>
      <c r="H415" s="106" t="n"/>
      <c r="I415" s="107" t="n"/>
      <c r="J415" s="107" t="n"/>
      <c r="K415" s="107" t="n"/>
      <c r="L415" s="107" t="n"/>
      <c r="M415" s="106" t="n"/>
      <c r="N415" s="62" t="n"/>
      <c r="O415" s="49" t="n"/>
      <c r="P415" s="49" t="n"/>
      <c r="Q415" s="105" t="n"/>
      <c r="R415" s="105" t="n"/>
      <c r="S415" s="105" t="n"/>
      <c r="T415" s="105" t="n"/>
      <c r="U415" s="108">
        <f>IF(OR(H415="",I415="",I415=0),"",H415/I415)</f>
        <v/>
      </c>
      <c r="V415" s="109">
        <f>IF(OR(B415="",C415="",L415=""),"",MAX(0,C415-B415))</f>
        <v/>
      </c>
      <c r="W415" s="110">
        <f>IF(OR(L415="",U415=""),"",IF(E415="Short",(I415-L415)*U415,(L415-I415)*U415))</f>
        <v/>
      </c>
      <c r="X415" s="110">
        <f>IF(W415="","",W415-IF(M415="",0,M415))</f>
        <v/>
      </c>
      <c r="Y415" s="111">
        <f>IF(OR(X415="",H415="",H415=0),"",X415/H415)</f>
        <v/>
      </c>
      <c r="Z415" s="112">
        <f>IF(OR(I415="",J415="",U415=""),"",ABS(I415-J415)*U415)</f>
        <v/>
      </c>
      <c r="AA415" s="113">
        <f>IF(OR(X415="",Z415="",Z415=0),"",X415/Z415)</f>
        <v/>
      </c>
      <c r="AB415" s="114">
        <f>IF(OR(I415="",J415="",K415="",I415=J415),"",ABS(K415-I415)/ABS(I415-J415))</f>
        <v/>
      </c>
      <c r="AC415" s="51">
        <f>IF(OR(B415="",D415="",H415="",I415=""),"",IF(L415="","Ouvert",IF(X415&gt;0,"Gagné",IF(X415&lt;0,"Perdu","Neutre"))))</f>
        <v/>
      </c>
      <c r="AD415" s="115">
        <f>IF(X415="","",IF(C415="",B415,C415))</f>
        <v/>
      </c>
      <c r="AE415" s="109">
        <f>IF(B415="","",WEEKDAY(B415,2))</f>
        <v/>
      </c>
      <c r="AF415" s="112">
        <f>IF(X415="","",'Paramètres'!$C$9+SUM($X$6:X415))</f>
        <v/>
      </c>
      <c r="AG415" s="112">
        <f>IF(AF415="","",MAX('Paramètres'!$C$9,MAX($AF$6:AF415)))</f>
        <v/>
      </c>
      <c r="AH415" s="116">
        <f>IF(AF415="","",AF415/AG415-1)</f>
        <v/>
      </c>
      <c r="AI415" s="109">
        <f>IF(X415="","",IF(X415&gt;0,IF(N(AI414)&gt;0,N(AI414)+1,1),IF(X415&lt;0,IF(N(AI414)&lt;0,N(AI414)-1,-1),0)))</f>
        <v/>
      </c>
      <c r="AJ415" s="116">
        <f>IF(Z415="","",IFERROR(Z415/('Paramètres'!$C$9+SUM($X$5:X414)),""))</f>
        <v/>
      </c>
      <c r="AK415" s="109">
        <f>IF(AC415="Ouvert",COUNTIF($AC$6:AC415,"Ouvert"),"")</f>
        <v/>
      </c>
    </row>
    <row r="416" ht="19" customHeight="1">
      <c r="A416" s="104">
        <f>IF(B416="","",ROW()-5)</f>
        <v/>
      </c>
      <c r="B416" s="61" t="n"/>
      <c r="C416" s="61" t="n"/>
      <c r="D416" s="105" t="n"/>
      <c r="E416" s="49" t="n"/>
      <c r="F416" s="105" t="n"/>
      <c r="G416" s="49" t="n"/>
      <c r="H416" s="106" t="n"/>
      <c r="I416" s="107" t="n"/>
      <c r="J416" s="107" t="n"/>
      <c r="K416" s="107" t="n"/>
      <c r="L416" s="107" t="n"/>
      <c r="M416" s="106" t="n"/>
      <c r="N416" s="62" t="n"/>
      <c r="O416" s="49" t="n"/>
      <c r="P416" s="49" t="n"/>
      <c r="Q416" s="105" t="n"/>
      <c r="R416" s="105" t="n"/>
      <c r="S416" s="105" t="n"/>
      <c r="T416" s="105" t="n"/>
      <c r="U416" s="108">
        <f>IF(OR(H416="",I416="",I416=0),"",H416/I416)</f>
        <v/>
      </c>
      <c r="V416" s="109">
        <f>IF(OR(B416="",C416="",L416=""),"",MAX(0,C416-B416))</f>
        <v/>
      </c>
      <c r="W416" s="110">
        <f>IF(OR(L416="",U416=""),"",IF(E416="Short",(I416-L416)*U416,(L416-I416)*U416))</f>
        <v/>
      </c>
      <c r="X416" s="110">
        <f>IF(W416="","",W416-IF(M416="",0,M416))</f>
        <v/>
      </c>
      <c r="Y416" s="111">
        <f>IF(OR(X416="",H416="",H416=0),"",X416/H416)</f>
        <v/>
      </c>
      <c r="Z416" s="112">
        <f>IF(OR(I416="",J416="",U416=""),"",ABS(I416-J416)*U416)</f>
        <v/>
      </c>
      <c r="AA416" s="113">
        <f>IF(OR(X416="",Z416="",Z416=0),"",X416/Z416)</f>
        <v/>
      </c>
      <c r="AB416" s="114">
        <f>IF(OR(I416="",J416="",K416="",I416=J416),"",ABS(K416-I416)/ABS(I416-J416))</f>
        <v/>
      </c>
      <c r="AC416" s="51">
        <f>IF(OR(B416="",D416="",H416="",I416=""),"",IF(L416="","Ouvert",IF(X416&gt;0,"Gagné",IF(X416&lt;0,"Perdu","Neutre"))))</f>
        <v/>
      </c>
      <c r="AD416" s="115">
        <f>IF(X416="","",IF(C416="",B416,C416))</f>
        <v/>
      </c>
      <c r="AE416" s="109">
        <f>IF(B416="","",WEEKDAY(B416,2))</f>
        <v/>
      </c>
      <c r="AF416" s="112">
        <f>IF(X416="","",'Paramètres'!$C$9+SUM($X$6:X416))</f>
        <v/>
      </c>
      <c r="AG416" s="112">
        <f>IF(AF416="","",MAX('Paramètres'!$C$9,MAX($AF$6:AF416)))</f>
        <v/>
      </c>
      <c r="AH416" s="116">
        <f>IF(AF416="","",AF416/AG416-1)</f>
        <v/>
      </c>
      <c r="AI416" s="109">
        <f>IF(X416="","",IF(X416&gt;0,IF(N(AI415)&gt;0,N(AI415)+1,1),IF(X416&lt;0,IF(N(AI415)&lt;0,N(AI415)-1,-1),0)))</f>
        <v/>
      </c>
      <c r="AJ416" s="116">
        <f>IF(Z416="","",IFERROR(Z416/('Paramètres'!$C$9+SUM($X$5:X415)),""))</f>
        <v/>
      </c>
      <c r="AK416" s="109">
        <f>IF(AC416="Ouvert",COUNTIF($AC$6:AC416,"Ouvert"),"")</f>
        <v/>
      </c>
    </row>
    <row r="417" ht="19" customHeight="1">
      <c r="A417" s="104">
        <f>IF(B417="","",ROW()-5)</f>
        <v/>
      </c>
      <c r="B417" s="61" t="n"/>
      <c r="C417" s="61" t="n"/>
      <c r="D417" s="105" t="n"/>
      <c r="E417" s="49" t="n"/>
      <c r="F417" s="105" t="n"/>
      <c r="G417" s="49" t="n"/>
      <c r="H417" s="106" t="n"/>
      <c r="I417" s="107" t="n"/>
      <c r="J417" s="107" t="n"/>
      <c r="K417" s="107" t="n"/>
      <c r="L417" s="107" t="n"/>
      <c r="M417" s="106" t="n"/>
      <c r="N417" s="62" t="n"/>
      <c r="O417" s="49" t="n"/>
      <c r="P417" s="49" t="n"/>
      <c r="Q417" s="105" t="n"/>
      <c r="R417" s="105" t="n"/>
      <c r="S417" s="105" t="n"/>
      <c r="T417" s="105" t="n"/>
      <c r="U417" s="108">
        <f>IF(OR(H417="",I417="",I417=0),"",H417/I417)</f>
        <v/>
      </c>
      <c r="V417" s="109">
        <f>IF(OR(B417="",C417="",L417=""),"",MAX(0,C417-B417))</f>
        <v/>
      </c>
      <c r="W417" s="110">
        <f>IF(OR(L417="",U417=""),"",IF(E417="Short",(I417-L417)*U417,(L417-I417)*U417))</f>
        <v/>
      </c>
      <c r="X417" s="110">
        <f>IF(W417="","",W417-IF(M417="",0,M417))</f>
        <v/>
      </c>
      <c r="Y417" s="111">
        <f>IF(OR(X417="",H417="",H417=0),"",X417/H417)</f>
        <v/>
      </c>
      <c r="Z417" s="112">
        <f>IF(OR(I417="",J417="",U417=""),"",ABS(I417-J417)*U417)</f>
        <v/>
      </c>
      <c r="AA417" s="113">
        <f>IF(OR(X417="",Z417="",Z417=0),"",X417/Z417)</f>
        <v/>
      </c>
      <c r="AB417" s="114">
        <f>IF(OR(I417="",J417="",K417="",I417=J417),"",ABS(K417-I417)/ABS(I417-J417))</f>
        <v/>
      </c>
      <c r="AC417" s="51">
        <f>IF(OR(B417="",D417="",H417="",I417=""),"",IF(L417="","Ouvert",IF(X417&gt;0,"Gagné",IF(X417&lt;0,"Perdu","Neutre"))))</f>
        <v/>
      </c>
      <c r="AD417" s="115">
        <f>IF(X417="","",IF(C417="",B417,C417))</f>
        <v/>
      </c>
      <c r="AE417" s="109">
        <f>IF(B417="","",WEEKDAY(B417,2))</f>
        <v/>
      </c>
      <c r="AF417" s="112">
        <f>IF(X417="","",'Paramètres'!$C$9+SUM($X$6:X417))</f>
        <v/>
      </c>
      <c r="AG417" s="112">
        <f>IF(AF417="","",MAX('Paramètres'!$C$9,MAX($AF$6:AF417)))</f>
        <v/>
      </c>
      <c r="AH417" s="116">
        <f>IF(AF417="","",AF417/AG417-1)</f>
        <v/>
      </c>
      <c r="AI417" s="109">
        <f>IF(X417="","",IF(X417&gt;0,IF(N(AI416)&gt;0,N(AI416)+1,1),IF(X417&lt;0,IF(N(AI416)&lt;0,N(AI416)-1,-1),0)))</f>
        <v/>
      </c>
      <c r="AJ417" s="116">
        <f>IF(Z417="","",IFERROR(Z417/('Paramètres'!$C$9+SUM($X$5:X416)),""))</f>
        <v/>
      </c>
      <c r="AK417" s="109">
        <f>IF(AC417="Ouvert",COUNTIF($AC$6:AC417,"Ouvert"),"")</f>
        <v/>
      </c>
    </row>
    <row r="418" ht="19" customHeight="1">
      <c r="A418" s="104">
        <f>IF(B418="","",ROW()-5)</f>
        <v/>
      </c>
      <c r="B418" s="61" t="n"/>
      <c r="C418" s="61" t="n"/>
      <c r="D418" s="105" t="n"/>
      <c r="E418" s="49" t="n"/>
      <c r="F418" s="105" t="n"/>
      <c r="G418" s="49" t="n"/>
      <c r="H418" s="106" t="n"/>
      <c r="I418" s="107" t="n"/>
      <c r="J418" s="107" t="n"/>
      <c r="K418" s="107" t="n"/>
      <c r="L418" s="107" t="n"/>
      <c r="M418" s="106" t="n"/>
      <c r="N418" s="62" t="n"/>
      <c r="O418" s="49" t="n"/>
      <c r="P418" s="49" t="n"/>
      <c r="Q418" s="105" t="n"/>
      <c r="R418" s="105" t="n"/>
      <c r="S418" s="105" t="n"/>
      <c r="T418" s="105" t="n"/>
      <c r="U418" s="108">
        <f>IF(OR(H418="",I418="",I418=0),"",H418/I418)</f>
        <v/>
      </c>
      <c r="V418" s="109">
        <f>IF(OR(B418="",C418="",L418=""),"",MAX(0,C418-B418))</f>
        <v/>
      </c>
      <c r="W418" s="110">
        <f>IF(OR(L418="",U418=""),"",IF(E418="Short",(I418-L418)*U418,(L418-I418)*U418))</f>
        <v/>
      </c>
      <c r="X418" s="110">
        <f>IF(W418="","",W418-IF(M418="",0,M418))</f>
        <v/>
      </c>
      <c r="Y418" s="111">
        <f>IF(OR(X418="",H418="",H418=0),"",X418/H418)</f>
        <v/>
      </c>
      <c r="Z418" s="112">
        <f>IF(OR(I418="",J418="",U418=""),"",ABS(I418-J418)*U418)</f>
        <v/>
      </c>
      <c r="AA418" s="113">
        <f>IF(OR(X418="",Z418="",Z418=0),"",X418/Z418)</f>
        <v/>
      </c>
      <c r="AB418" s="114">
        <f>IF(OR(I418="",J418="",K418="",I418=J418),"",ABS(K418-I418)/ABS(I418-J418))</f>
        <v/>
      </c>
      <c r="AC418" s="51">
        <f>IF(OR(B418="",D418="",H418="",I418=""),"",IF(L418="","Ouvert",IF(X418&gt;0,"Gagné",IF(X418&lt;0,"Perdu","Neutre"))))</f>
        <v/>
      </c>
      <c r="AD418" s="115">
        <f>IF(X418="","",IF(C418="",B418,C418))</f>
        <v/>
      </c>
      <c r="AE418" s="109">
        <f>IF(B418="","",WEEKDAY(B418,2))</f>
        <v/>
      </c>
      <c r="AF418" s="112">
        <f>IF(X418="","",'Paramètres'!$C$9+SUM($X$6:X418))</f>
        <v/>
      </c>
      <c r="AG418" s="112">
        <f>IF(AF418="","",MAX('Paramètres'!$C$9,MAX($AF$6:AF418)))</f>
        <v/>
      </c>
      <c r="AH418" s="116">
        <f>IF(AF418="","",AF418/AG418-1)</f>
        <v/>
      </c>
      <c r="AI418" s="109">
        <f>IF(X418="","",IF(X418&gt;0,IF(N(AI417)&gt;0,N(AI417)+1,1),IF(X418&lt;0,IF(N(AI417)&lt;0,N(AI417)-1,-1),0)))</f>
        <v/>
      </c>
      <c r="AJ418" s="116">
        <f>IF(Z418="","",IFERROR(Z418/('Paramètres'!$C$9+SUM($X$5:X417)),""))</f>
        <v/>
      </c>
      <c r="AK418" s="109">
        <f>IF(AC418="Ouvert",COUNTIF($AC$6:AC418,"Ouvert"),"")</f>
        <v/>
      </c>
    </row>
    <row r="419" ht="19" customHeight="1">
      <c r="A419" s="104">
        <f>IF(B419="","",ROW()-5)</f>
        <v/>
      </c>
      <c r="B419" s="61" t="n"/>
      <c r="C419" s="61" t="n"/>
      <c r="D419" s="105" t="n"/>
      <c r="E419" s="49" t="n"/>
      <c r="F419" s="105" t="n"/>
      <c r="G419" s="49" t="n"/>
      <c r="H419" s="106" t="n"/>
      <c r="I419" s="107" t="n"/>
      <c r="J419" s="107" t="n"/>
      <c r="K419" s="107" t="n"/>
      <c r="L419" s="107" t="n"/>
      <c r="M419" s="106" t="n"/>
      <c r="N419" s="62" t="n"/>
      <c r="O419" s="49" t="n"/>
      <c r="P419" s="49" t="n"/>
      <c r="Q419" s="105" t="n"/>
      <c r="R419" s="105" t="n"/>
      <c r="S419" s="105" t="n"/>
      <c r="T419" s="105" t="n"/>
      <c r="U419" s="108">
        <f>IF(OR(H419="",I419="",I419=0),"",H419/I419)</f>
        <v/>
      </c>
      <c r="V419" s="109">
        <f>IF(OR(B419="",C419="",L419=""),"",MAX(0,C419-B419))</f>
        <v/>
      </c>
      <c r="W419" s="110">
        <f>IF(OR(L419="",U419=""),"",IF(E419="Short",(I419-L419)*U419,(L419-I419)*U419))</f>
        <v/>
      </c>
      <c r="X419" s="110">
        <f>IF(W419="","",W419-IF(M419="",0,M419))</f>
        <v/>
      </c>
      <c r="Y419" s="111">
        <f>IF(OR(X419="",H419="",H419=0),"",X419/H419)</f>
        <v/>
      </c>
      <c r="Z419" s="112">
        <f>IF(OR(I419="",J419="",U419=""),"",ABS(I419-J419)*U419)</f>
        <v/>
      </c>
      <c r="AA419" s="113">
        <f>IF(OR(X419="",Z419="",Z419=0),"",X419/Z419)</f>
        <v/>
      </c>
      <c r="AB419" s="114">
        <f>IF(OR(I419="",J419="",K419="",I419=J419),"",ABS(K419-I419)/ABS(I419-J419))</f>
        <v/>
      </c>
      <c r="AC419" s="51">
        <f>IF(OR(B419="",D419="",H419="",I419=""),"",IF(L419="","Ouvert",IF(X419&gt;0,"Gagné",IF(X419&lt;0,"Perdu","Neutre"))))</f>
        <v/>
      </c>
      <c r="AD419" s="115">
        <f>IF(X419="","",IF(C419="",B419,C419))</f>
        <v/>
      </c>
      <c r="AE419" s="109">
        <f>IF(B419="","",WEEKDAY(B419,2))</f>
        <v/>
      </c>
      <c r="AF419" s="112">
        <f>IF(X419="","",'Paramètres'!$C$9+SUM($X$6:X419))</f>
        <v/>
      </c>
      <c r="AG419" s="112">
        <f>IF(AF419="","",MAX('Paramètres'!$C$9,MAX($AF$6:AF419)))</f>
        <v/>
      </c>
      <c r="AH419" s="116">
        <f>IF(AF419="","",AF419/AG419-1)</f>
        <v/>
      </c>
      <c r="AI419" s="109">
        <f>IF(X419="","",IF(X419&gt;0,IF(N(AI418)&gt;0,N(AI418)+1,1),IF(X419&lt;0,IF(N(AI418)&lt;0,N(AI418)-1,-1),0)))</f>
        <v/>
      </c>
      <c r="AJ419" s="116">
        <f>IF(Z419="","",IFERROR(Z419/('Paramètres'!$C$9+SUM($X$5:X418)),""))</f>
        <v/>
      </c>
      <c r="AK419" s="109">
        <f>IF(AC419="Ouvert",COUNTIF($AC$6:AC419,"Ouvert"),"")</f>
        <v/>
      </c>
    </row>
    <row r="420" ht="19" customHeight="1">
      <c r="A420" s="104">
        <f>IF(B420="","",ROW()-5)</f>
        <v/>
      </c>
      <c r="B420" s="61" t="n"/>
      <c r="C420" s="61" t="n"/>
      <c r="D420" s="105" t="n"/>
      <c r="E420" s="49" t="n"/>
      <c r="F420" s="105" t="n"/>
      <c r="G420" s="49" t="n"/>
      <c r="H420" s="106" t="n"/>
      <c r="I420" s="107" t="n"/>
      <c r="J420" s="107" t="n"/>
      <c r="K420" s="107" t="n"/>
      <c r="L420" s="107" t="n"/>
      <c r="M420" s="106" t="n"/>
      <c r="N420" s="62" t="n"/>
      <c r="O420" s="49" t="n"/>
      <c r="P420" s="49" t="n"/>
      <c r="Q420" s="105" t="n"/>
      <c r="R420" s="105" t="n"/>
      <c r="S420" s="105" t="n"/>
      <c r="T420" s="105" t="n"/>
      <c r="U420" s="108">
        <f>IF(OR(H420="",I420="",I420=0),"",H420/I420)</f>
        <v/>
      </c>
      <c r="V420" s="109">
        <f>IF(OR(B420="",C420="",L420=""),"",MAX(0,C420-B420))</f>
        <v/>
      </c>
      <c r="W420" s="110">
        <f>IF(OR(L420="",U420=""),"",IF(E420="Short",(I420-L420)*U420,(L420-I420)*U420))</f>
        <v/>
      </c>
      <c r="X420" s="110">
        <f>IF(W420="","",W420-IF(M420="",0,M420))</f>
        <v/>
      </c>
      <c r="Y420" s="111">
        <f>IF(OR(X420="",H420="",H420=0),"",X420/H420)</f>
        <v/>
      </c>
      <c r="Z420" s="112">
        <f>IF(OR(I420="",J420="",U420=""),"",ABS(I420-J420)*U420)</f>
        <v/>
      </c>
      <c r="AA420" s="113">
        <f>IF(OR(X420="",Z420="",Z420=0),"",X420/Z420)</f>
        <v/>
      </c>
      <c r="AB420" s="114">
        <f>IF(OR(I420="",J420="",K420="",I420=J420),"",ABS(K420-I420)/ABS(I420-J420))</f>
        <v/>
      </c>
      <c r="AC420" s="51">
        <f>IF(OR(B420="",D420="",H420="",I420=""),"",IF(L420="","Ouvert",IF(X420&gt;0,"Gagné",IF(X420&lt;0,"Perdu","Neutre"))))</f>
        <v/>
      </c>
      <c r="AD420" s="115">
        <f>IF(X420="","",IF(C420="",B420,C420))</f>
        <v/>
      </c>
      <c r="AE420" s="109">
        <f>IF(B420="","",WEEKDAY(B420,2))</f>
        <v/>
      </c>
      <c r="AF420" s="112">
        <f>IF(X420="","",'Paramètres'!$C$9+SUM($X$6:X420))</f>
        <v/>
      </c>
      <c r="AG420" s="112">
        <f>IF(AF420="","",MAX('Paramètres'!$C$9,MAX($AF$6:AF420)))</f>
        <v/>
      </c>
      <c r="AH420" s="116">
        <f>IF(AF420="","",AF420/AG420-1)</f>
        <v/>
      </c>
      <c r="AI420" s="109">
        <f>IF(X420="","",IF(X420&gt;0,IF(N(AI419)&gt;0,N(AI419)+1,1),IF(X420&lt;0,IF(N(AI419)&lt;0,N(AI419)-1,-1),0)))</f>
        <v/>
      </c>
      <c r="AJ420" s="116">
        <f>IF(Z420="","",IFERROR(Z420/('Paramètres'!$C$9+SUM($X$5:X419)),""))</f>
        <v/>
      </c>
      <c r="AK420" s="109">
        <f>IF(AC420="Ouvert",COUNTIF($AC$6:AC420,"Ouvert"),"")</f>
        <v/>
      </c>
    </row>
    <row r="421" ht="19" customHeight="1">
      <c r="A421" s="104">
        <f>IF(B421="","",ROW()-5)</f>
        <v/>
      </c>
      <c r="B421" s="61" t="n"/>
      <c r="C421" s="61" t="n"/>
      <c r="D421" s="105" t="n"/>
      <c r="E421" s="49" t="n"/>
      <c r="F421" s="105" t="n"/>
      <c r="G421" s="49" t="n"/>
      <c r="H421" s="106" t="n"/>
      <c r="I421" s="107" t="n"/>
      <c r="J421" s="107" t="n"/>
      <c r="K421" s="107" t="n"/>
      <c r="L421" s="107" t="n"/>
      <c r="M421" s="106" t="n"/>
      <c r="N421" s="62" t="n"/>
      <c r="O421" s="49" t="n"/>
      <c r="P421" s="49" t="n"/>
      <c r="Q421" s="105" t="n"/>
      <c r="R421" s="105" t="n"/>
      <c r="S421" s="105" t="n"/>
      <c r="T421" s="105" t="n"/>
      <c r="U421" s="108">
        <f>IF(OR(H421="",I421="",I421=0),"",H421/I421)</f>
        <v/>
      </c>
      <c r="V421" s="109">
        <f>IF(OR(B421="",C421="",L421=""),"",MAX(0,C421-B421))</f>
        <v/>
      </c>
      <c r="W421" s="110">
        <f>IF(OR(L421="",U421=""),"",IF(E421="Short",(I421-L421)*U421,(L421-I421)*U421))</f>
        <v/>
      </c>
      <c r="X421" s="110">
        <f>IF(W421="","",W421-IF(M421="",0,M421))</f>
        <v/>
      </c>
      <c r="Y421" s="111">
        <f>IF(OR(X421="",H421="",H421=0),"",X421/H421)</f>
        <v/>
      </c>
      <c r="Z421" s="112">
        <f>IF(OR(I421="",J421="",U421=""),"",ABS(I421-J421)*U421)</f>
        <v/>
      </c>
      <c r="AA421" s="113">
        <f>IF(OR(X421="",Z421="",Z421=0),"",X421/Z421)</f>
        <v/>
      </c>
      <c r="AB421" s="114">
        <f>IF(OR(I421="",J421="",K421="",I421=J421),"",ABS(K421-I421)/ABS(I421-J421))</f>
        <v/>
      </c>
      <c r="AC421" s="51">
        <f>IF(OR(B421="",D421="",H421="",I421=""),"",IF(L421="","Ouvert",IF(X421&gt;0,"Gagné",IF(X421&lt;0,"Perdu","Neutre"))))</f>
        <v/>
      </c>
      <c r="AD421" s="115">
        <f>IF(X421="","",IF(C421="",B421,C421))</f>
        <v/>
      </c>
      <c r="AE421" s="109">
        <f>IF(B421="","",WEEKDAY(B421,2))</f>
        <v/>
      </c>
      <c r="AF421" s="112">
        <f>IF(X421="","",'Paramètres'!$C$9+SUM($X$6:X421))</f>
        <v/>
      </c>
      <c r="AG421" s="112">
        <f>IF(AF421="","",MAX('Paramètres'!$C$9,MAX($AF$6:AF421)))</f>
        <v/>
      </c>
      <c r="AH421" s="116">
        <f>IF(AF421="","",AF421/AG421-1)</f>
        <v/>
      </c>
      <c r="AI421" s="109">
        <f>IF(X421="","",IF(X421&gt;0,IF(N(AI420)&gt;0,N(AI420)+1,1),IF(X421&lt;0,IF(N(AI420)&lt;0,N(AI420)-1,-1),0)))</f>
        <v/>
      </c>
      <c r="AJ421" s="116">
        <f>IF(Z421="","",IFERROR(Z421/('Paramètres'!$C$9+SUM($X$5:X420)),""))</f>
        <v/>
      </c>
      <c r="AK421" s="109">
        <f>IF(AC421="Ouvert",COUNTIF($AC$6:AC421,"Ouvert"),"")</f>
        <v/>
      </c>
    </row>
    <row r="422" ht="19" customHeight="1">
      <c r="A422" s="104">
        <f>IF(B422="","",ROW()-5)</f>
        <v/>
      </c>
      <c r="B422" s="61" t="n"/>
      <c r="C422" s="61" t="n"/>
      <c r="D422" s="105" t="n"/>
      <c r="E422" s="49" t="n"/>
      <c r="F422" s="105" t="n"/>
      <c r="G422" s="49" t="n"/>
      <c r="H422" s="106" t="n"/>
      <c r="I422" s="107" t="n"/>
      <c r="J422" s="107" t="n"/>
      <c r="K422" s="107" t="n"/>
      <c r="L422" s="107" t="n"/>
      <c r="M422" s="106" t="n"/>
      <c r="N422" s="62" t="n"/>
      <c r="O422" s="49" t="n"/>
      <c r="P422" s="49" t="n"/>
      <c r="Q422" s="105" t="n"/>
      <c r="R422" s="105" t="n"/>
      <c r="S422" s="105" t="n"/>
      <c r="T422" s="105" t="n"/>
      <c r="U422" s="108">
        <f>IF(OR(H422="",I422="",I422=0),"",H422/I422)</f>
        <v/>
      </c>
      <c r="V422" s="109">
        <f>IF(OR(B422="",C422="",L422=""),"",MAX(0,C422-B422))</f>
        <v/>
      </c>
      <c r="W422" s="110">
        <f>IF(OR(L422="",U422=""),"",IF(E422="Short",(I422-L422)*U422,(L422-I422)*U422))</f>
        <v/>
      </c>
      <c r="X422" s="110">
        <f>IF(W422="","",W422-IF(M422="",0,M422))</f>
        <v/>
      </c>
      <c r="Y422" s="111">
        <f>IF(OR(X422="",H422="",H422=0),"",X422/H422)</f>
        <v/>
      </c>
      <c r="Z422" s="112">
        <f>IF(OR(I422="",J422="",U422=""),"",ABS(I422-J422)*U422)</f>
        <v/>
      </c>
      <c r="AA422" s="113">
        <f>IF(OR(X422="",Z422="",Z422=0),"",X422/Z422)</f>
        <v/>
      </c>
      <c r="AB422" s="114">
        <f>IF(OR(I422="",J422="",K422="",I422=J422),"",ABS(K422-I422)/ABS(I422-J422))</f>
        <v/>
      </c>
      <c r="AC422" s="51">
        <f>IF(OR(B422="",D422="",H422="",I422=""),"",IF(L422="","Ouvert",IF(X422&gt;0,"Gagné",IF(X422&lt;0,"Perdu","Neutre"))))</f>
        <v/>
      </c>
      <c r="AD422" s="115">
        <f>IF(X422="","",IF(C422="",B422,C422))</f>
        <v/>
      </c>
      <c r="AE422" s="109">
        <f>IF(B422="","",WEEKDAY(B422,2))</f>
        <v/>
      </c>
      <c r="AF422" s="112">
        <f>IF(X422="","",'Paramètres'!$C$9+SUM($X$6:X422))</f>
        <v/>
      </c>
      <c r="AG422" s="112">
        <f>IF(AF422="","",MAX('Paramètres'!$C$9,MAX($AF$6:AF422)))</f>
        <v/>
      </c>
      <c r="AH422" s="116">
        <f>IF(AF422="","",AF422/AG422-1)</f>
        <v/>
      </c>
      <c r="AI422" s="109">
        <f>IF(X422="","",IF(X422&gt;0,IF(N(AI421)&gt;0,N(AI421)+1,1),IF(X422&lt;0,IF(N(AI421)&lt;0,N(AI421)-1,-1),0)))</f>
        <v/>
      </c>
      <c r="AJ422" s="116">
        <f>IF(Z422="","",IFERROR(Z422/('Paramètres'!$C$9+SUM($X$5:X421)),""))</f>
        <v/>
      </c>
      <c r="AK422" s="109">
        <f>IF(AC422="Ouvert",COUNTIF($AC$6:AC422,"Ouvert"),"")</f>
        <v/>
      </c>
    </row>
    <row r="423" ht="19" customHeight="1">
      <c r="A423" s="104">
        <f>IF(B423="","",ROW()-5)</f>
        <v/>
      </c>
      <c r="B423" s="61" t="n"/>
      <c r="C423" s="61" t="n"/>
      <c r="D423" s="105" t="n"/>
      <c r="E423" s="49" t="n"/>
      <c r="F423" s="105" t="n"/>
      <c r="G423" s="49" t="n"/>
      <c r="H423" s="106" t="n"/>
      <c r="I423" s="107" t="n"/>
      <c r="J423" s="107" t="n"/>
      <c r="K423" s="107" t="n"/>
      <c r="L423" s="107" t="n"/>
      <c r="M423" s="106" t="n"/>
      <c r="N423" s="62" t="n"/>
      <c r="O423" s="49" t="n"/>
      <c r="P423" s="49" t="n"/>
      <c r="Q423" s="105" t="n"/>
      <c r="R423" s="105" t="n"/>
      <c r="S423" s="105" t="n"/>
      <c r="T423" s="105" t="n"/>
      <c r="U423" s="108">
        <f>IF(OR(H423="",I423="",I423=0),"",H423/I423)</f>
        <v/>
      </c>
      <c r="V423" s="109">
        <f>IF(OR(B423="",C423="",L423=""),"",MAX(0,C423-B423))</f>
        <v/>
      </c>
      <c r="W423" s="110">
        <f>IF(OR(L423="",U423=""),"",IF(E423="Short",(I423-L423)*U423,(L423-I423)*U423))</f>
        <v/>
      </c>
      <c r="X423" s="110">
        <f>IF(W423="","",W423-IF(M423="",0,M423))</f>
        <v/>
      </c>
      <c r="Y423" s="111">
        <f>IF(OR(X423="",H423="",H423=0),"",X423/H423)</f>
        <v/>
      </c>
      <c r="Z423" s="112">
        <f>IF(OR(I423="",J423="",U423=""),"",ABS(I423-J423)*U423)</f>
        <v/>
      </c>
      <c r="AA423" s="113">
        <f>IF(OR(X423="",Z423="",Z423=0),"",X423/Z423)</f>
        <v/>
      </c>
      <c r="AB423" s="114">
        <f>IF(OR(I423="",J423="",K423="",I423=J423),"",ABS(K423-I423)/ABS(I423-J423))</f>
        <v/>
      </c>
      <c r="AC423" s="51">
        <f>IF(OR(B423="",D423="",H423="",I423=""),"",IF(L423="","Ouvert",IF(X423&gt;0,"Gagné",IF(X423&lt;0,"Perdu","Neutre"))))</f>
        <v/>
      </c>
      <c r="AD423" s="115">
        <f>IF(X423="","",IF(C423="",B423,C423))</f>
        <v/>
      </c>
      <c r="AE423" s="109">
        <f>IF(B423="","",WEEKDAY(B423,2))</f>
        <v/>
      </c>
      <c r="AF423" s="112">
        <f>IF(X423="","",'Paramètres'!$C$9+SUM($X$6:X423))</f>
        <v/>
      </c>
      <c r="AG423" s="112">
        <f>IF(AF423="","",MAX('Paramètres'!$C$9,MAX($AF$6:AF423)))</f>
        <v/>
      </c>
      <c r="AH423" s="116">
        <f>IF(AF423="","",AF423/AG423-1)</f>
        <v/>
      </c>
      <c r="AI423" s="109">
        <f>IF(X423="","",IF(X423&gt;0,IF(N(AI422)&gt;0,N(AI422)+1,1),IF(X423&lt;0,IF(N(AI422)&lt;0,N(AI422)-1,-1),0)))</f>
        <v/>
      </c>
      <c r="AJ423" s="116">
        <f>IF(Z423="","",IFERROR(Z423/('Paramètres'!$C$9+SUM($X$5:X422)),""))</f>
        <v/>
      </c>
      <c r="AK423" s="109">
        <f>IF(AC423="Ouvert",COUNTIF($AC$6:AC423,"Ouvert"),"")</f>
        <v/>
      </c>
    </row>
    <row r="424" ht="19" customHeight="1">
      <c r="A424" s="104">
        <f>IF(B424="","",ROW()-5)</f>
        <v/>
      </c>
      <c r="B424" s="61" t="n"/>
      <c r="C424" s="61" t="n"/>
      <c r="D424" s="105" t="n"/>
      <c r="E424" s="49" t="n"/>
      <c r="F424" s="105" t="n"/>
      <c r="G424" s="49" t="n"/>
      <c r="H424" s="106" t="n"/>
      <c r="I424" s="107" t="n"/>
      <c r="J424" s="107" t="n"/>
      <c r="K424" s="107" t="n"/>
      <c r="L424" s="107" t="n"/>
      <c r="M424" s="106" t="n"/>
      <c r="N424" s="62" t="n"/>
      <c r="O424" s="49" t="n"/>
      <c r="P424" s="49" t="n"/>
      <c r="Q424" s="105" t="n"/>
      <c r="R424" s="105" t="n"/>
      <c r="S424" s="105" t="n"/>
      <c r="T424" s="105" t="n"/>
      <c r="U424" s="108">
        <f>IF(OR(H424="",I424="",I424=0),"",H424/I424)</f>
        <v/>
      </c>
      <c r="V424" s="109">
        <f>IF(OR(B424="",C424="",L424=""),"",MAX(0,C424-B424))</f>
        <v/>
      </c>
      <c r="W424" s="110">
        <f>IF(OR(L424="",U424=""),"",IF(E424="Short",(I424-L424)*U424,(L424-I424)*U424))</f>
        <v/>
      </c>
      <c r="X424" s="110">
        <f>IF(W424="","",W424-IF(M424="",0,M424))</f>
        <v/>
      </c>
      <c r="Y424" s="111">
        <f>IF(OR(X424="",H424="",H424=0),"",X424/H424)</f>
        <v/>
      </c>
      <c r="Z424" s="112">
        <f>IF(OR(I424="",J424="",U424=""),"",ABS(I424-J424)*U424)</f>
        <v/>
      </c>
      <c r="AA424" s="113">
        <f>IF(OR(X424="",Z424="",Z424=0),"",X424/Z424)</f>
        <v/>
      </c>
      <c r="AB424" s="114">
        <f>IF(OR(I424="",J424="",K424="",I424=J424),"",ABS(K424-I424)/ABS(I424-J424))</f>
        <v/>
      </c>
      <c r="AC424" s="51">
        <f>IF(OR(B424="",D424="",H424="",I424=""),"",IF(L424="","Ouvert",IF(X424&gt;0,"Gagné",IF(X424&lt;0,"Perdu","Neutre"))))</f>
        <v/>
      </c>
      <c r="AD424" s="115">
        <f>IF(X424="","",IF(C424="",B424,C424))</f>
        <v/>
      </c>
      <c r="AE424" s="109">
        <f>IF(B424="","",WEEKDAY(B424,2))</f>
        <v/>
      </c>
      <c r="AF424" s="112">
        <f>IF(X424="","",'Paramètres'!$C$9+SUM($X$6:X424))</f>
        <v/>
      </c>
      <c r="AG424" s="112">
        <f>IF(AF424="","",MAX('Paramètres'!$C$9,MAX($AF$6:AF424)))</f>
        <v/>
      </c>
      <c r="AH424" s="116">
        <f>IF(AF424="","",AF424/AG424-1)</f>
        <v/>
      </c>
      <c r="AI424" s="109">
        <f>IF(X424="","",IF(X424&gt;0,IF(N(AI423)&gt;0,N(AI423)+1,1),IF(X424&lt;0,IF(N(AI423)&lt;0,N(AI423)-1,-1),0)))</f>
        <v/>
      </c>
      <c r="AJ424" s="116">
        <f>IF(Z424="","",IFERROR(Z424/('Paramètres'!$C$9+SUM($X$5:X423)),""))</f>
        <v/>
      </c>
      <c r="AK424" s="109">
        <f>IF(AC424="Ouvert",COUNTIF($AC$6:AC424,"Ouvert"),"")</f>
        <v/>
      </c>
    </row>
    <row r="425" ht="19" customHeight="1">
      <c r="A425" s="104">
        <f>IF(B425="","",ROW()-5)</f>
        <v/>
      </c>
      <c r="B425" s="61" t="n"/>
      <c r="C425" s="61" t="n"/>
      <c r="D425" s="105" t="n"/>
      <c r="E425" s="49" t="n"/>
      <c r="F425" s="105" t="n"/>
      <c r="G425" s="49" t="n"/>
      <c r="H425" s="106" t="n"/>
      <c r="I425" s="107" t="n"/>
      <c r="J425" s="107" t="n"/>
      <c r="K425" s="107" t="n"/>
      <c r="L425" s="107" t="n"/>
      <c r="M425" s="106" t="n"/>
      <c r="N425" s="62" t="n"/>
      <c r="O425" s="49" t="n"/>
      <c r="P425" s="49" t="n"/>
      <c r="Q425" s="105" t="n"/>
      <c r="R425" s="105" t="n"/>
      <c r="S425" s="105" t="n"/>
      <c r="T425" s="105" t="n"/>
      <c r="U425" s="108">
        <f>IF(OR(H425="",I425="",I425=0),"",H425/I425)</f>
        <v/>
      </c>
      <c r="V425" s="109">
        <f>IF(OR(B425="",C425="",L425=""),"",MAX(0,C425-B425))</f>
        <v/>
      </c>
      <c r="W425" s="110">
        <f>IF(OR(L425="",U425=""),"",IF(E425="Short",(I425-L425)*U425,(L425-I425)*U425))</f>
        <v/>
      </c>
      <c r="X425" s="110">
        <f>IF(W425="","",W425-IF(M425="",0,M425))</f>
        <v/>
      </c>
      <c r="Y425" s="111">
        <f>IF(OR(X425="",H425="",H425=0),"",X425/H425)</f>
        <v/>
      </c>
      <c r="Z425" s="112">
        <f>IF(OR(I425="",J425="",U425=""),"",ABS(I425-J425)*U425)</f>
        <v/>
      </c>
      <c r="AA425" s="113">
        <f>IF(OR(X425="",Z425="",Z425=0),"",X425/Z425)</f>
        <v/>
      </c>
      <c r="AB425" s="114">
        <f>IF(OR(I425="",J425="",K425="",I425=J425),"",ABS(K425-I425)/ABS(I425-J425))</f>
        <v/>
      </c>
      <c r="AC425" s="51">
        <f>IF(OR(B425="",D425="",H425="",I425=""),"",IF(L425="","Ouvert",IF(X425&gt;0,"Gagné",IF(X425&lt;0,"Perdu","Neutre"))))</f>
        <v/>
      </c>
      <c r="AD425" s="115">
        <f>IF(X425="","",IF(C425="",B425,C425))</f>
        <v/>
      </c>
      <c r="AE425" s="109">
        <f>IF(B425="","",WEEKDAY(B425,2))</f>
        <v/>
      </c>
      <c r="AF425" s="112">
        <f>IF(X425="","",'Paramètres'!$C$9+SUM($X$6:X425))</f>
        <v/>
      </c>
      <c r="AG425" s="112">
        <f>IF(AF425="","",MAX('Paramètres'!$C$9,MAX($AF$6:AF425)))</f>
        <v/>
      </c>
      <c r="AH425" s="116">
        <f>IF(AF425="","",AF425/AG425-1)</f>
        <v/>
      </c>
      <c r="AI425" s="109">
        <f>IF(X425="","",IF(X425&gt;0,IF(N(AI424)&gt;0,N(AI424)+1,1),IF(X425&lt;0,IF(N(AI424)&lt;0,N(AI424)-1,-1),0)))</f>
        <v/>
      </c>
      <c r="AJ425" s="116">
        <f>IF(Z425="","",IFERROR(Z425/('Paramètres'!$C$9+SUM($X$5:X424)),""))</f>
        <v/>
      </c>
      <c r="AK425" s="109">
        <f>IF(AC425="Ouvert",COUNTIF($AC$6:AC425,"Ouvert"),"")</f>
        <v/>
      </c>
    </row>
    <row r="426" ht="19" customHeight="1">
      <c r="A426" s="104">
        <f>IF(B426="","",ROW()-5)</f>
        <v/>
      </c>
      <c r="B426" s="61" t="n"/>
      <c r="C426" s="61" t="n"/>
      <c r="D426" s="105" t="n"/>
      <c r="E426" s="49" t="n"/>
      <c r="F426" s="105" t="n"/>
      <c r="G426" s="49" t="n"/>
      <c r="H426" s="106" t="n"/>
      <c r="I426" s="107" t="n"/>
      <c r="J426" s="107" t="n"/>
      <c r="K426" s="107" t="n"/>
      <c r="L426" s="107" t="n"/>
      <c r="M426" s="106" t="n"/>
      <c r="N426" s="62" t="n"/>
      <c r="O426" s="49" t="n"/>
      <c r="P426" s="49" t="n"/>
      <c r="Q426" s="105" t="n"/>
      <c r="R426" s="105" t="n"/>
      <c r="S426" s="105" t="n"/>
      <c r="T426" s="105" t="n"/>
      <c r="U426" s="108">
        <f>IF(OR(H426="",I426="",I426=0),"",H426/I426)</f>
        <v/>
      </c>
      <c r="V426" s="109">
        <f>IF(OR(B426="",C426="",L426=""),"",MAX(0,C426-B426))</f>
        <v/>
      </c>
      <c r="W426" s="110">
        <f>IF(OR(L426="",U426=""),"",IF(E426="Short",(I426-L426)*U426,(L426-I426)*U426))</f>
        <v/>
      </c>
      <c r="X426" s="110">
        <f>IF(W426="","",W426-IF(M426="",0,M426))</f>
        <v/>
      </c>
      <c r="Y426" s="111">
        <f>IF(OR(X426="",H426="",H426=0),"",X426/H426)</f>
        <v/>
      </c>
      <c r="Z426" s="112">
        <f>IF(OR(I426="",J426="",U426=""),"",ABS(I426-J426)*U426)</f>
        <v/>
      </c>
      <c r="AA426" s="113">
        <f>IF(OR(X426="",Z426="",Z426=0),"",X426/Z426)</f>
        <v/>
      </c>
      <c r="AB426" s="114">
        <f>IF(OR(I426="",J426="",K426="",I426=J426),"",ABS(K426-I426)/ABS(I426-J426))</f>
        <v/>
      </c>
      <c r="AC426" s="51">
        <f>IF(OR(B426="",D426="",H426="",I426=""),"",IF(L426="","Ouvert",IF(X426&gt;0,"Gagné",IF(X426&lt;0,"Perdu","Neutre"))))</f>
        <v/>
      </c>
      <c r="AD426" s="115">
        <f>IF(X426="","",IF(C426="",B426,C426))</f>
        <v/>
      </c>
      <c r="AE426" s="109">
        <f>IF(B426="","",WEEKDAY(B426,2))</f>
        <v/>
      </c>
      <c r="AF426" s="112">
        <f>IF(X426="","",'Paramètres'!$C$9+SUM($X$6:X426))</f>
        <v/>
      </c>
      <c r="AG426" s="112">
        <f>IF(AF426="","",MAX('Paramètres'!$C$9,MAX($AF$6:AF426)))</f>
        <v/>
      </c>
      <c r="AH426" s="116">
        <f>IF(AF426="","",AF426/AG426-1)</f>
        <v/>
      </c>
      <c r="AI426" s="109">
        <f>IF(X426="","",IF(X426&gt;0,IF(N(AI425)&gt;0,N(AI425)+1,1),IF(X426&lt;0,IF(N(AI425)&lt;0,N(AI425)-1,-1),0)))</f>
        <v/>
      </c>
      <c r="AJ426" s="116">
        <f>IF(Z426="","",IFERROR(Z426/('Paramètres'!$C$9+SUM($X$5:X425)),""))</f>
        <v/>
      </c>
      <c r="AK426" s="109">
        <f>IF(AC426="Ouvert",COUNTIF($AC$6:AC426,"Ouvert"),"")</f>
        <v/>
      </c>
    </row>
    <row r="427" ht="19" customHeight="1">
      <c r="A427" s="104">
        <f>IF(B427="","",ROW()-5)</f>
        <v/>
      </c>
      <c r="B427" s="61" t="n"/>
      <c r="C427" s="61" t="n"/>
      <c r="D427" s="105" t="n"/>
      <c r="E427" s="49" t="n"/>
      <c r="F427" s="105" t="n"/>
      <c r="G427" s="49" t="n"/>
      <c r="H427" s="106" t="n"/>
      <c r="I427" s="107" t="n"/>
      <c r="J427" s="107" t="n"/>
      <c r="K427" s="107" t="n"/>
      <c r="L427" s="107" t="n"/>
      <c r="M427" s="106" t="n"/>
      <c r="N427" s="62" t="n"/>
      <c r="O427" s="49" t="n"/>
      <c r="P427" s="49" t="n"/>
      <c r="Q427" s="105" t="n"/>
      <c r="R427" s="105" t="n"/>
      <c r="S427" s="105" t="n"/>
      <c r="T427" s="105" t="n"/>
      <c r="U427" s="108">
        <f>IF(OR(H427="",I427="",I427=0),"",H427/I427)</f>
        <v/>
      </c>
      <c r="V427" s="109">
        <f>IF(OR(B427="",C427="",L427=""),"",MAX(0,C427-B427))</f>
        <v/>
      </c>
      <c r="W427" s="110">
        <f>IF(OR(L427="",U427=""),"",IF(E427="Short",(I427-L427)*U427,(L427-I427)*U427))</f>
        <v/>
      </c>
      <c r="X427" s="110">
        <f>IF(W427="","",W427-IF(M427="",0,M427))</f>
        <v/>
      </c>
      <c r="Y427" s="111">
        <f>IF(OR(X427="",H427="",H427=0),"",X427/H427)</f>
        <v/>
      </c>
      <c r="Z427" s="112">
        <f>IF(OR(I427="",J427="",U427=""),"",ABS(I427-J427)*U427)</f>
        <v/>
      </c>
      <c r="AA427" s="113">
        <f>IF(OR(X427="",Z427="",Z427=0),"",X427/Z427)</f>
        <v/>
      </c>
      <c r="AB427" s="114">
        <f>IF(OR(I427="",J427="",K427="",I427=J427),"",ABS(K427-I427)/ABS(I427-J427))</f>
        <v/>
      </c>
      <c r="AC427" s="51">
        <f>IF(OR(B427="",D427="",H427="",I427=""),"",IF(L427="","Ouvert",IF(X427&gt;0,"Gagné",IF(X427&lt;0,"Perdu","Neutre"))))</f>
        <v/>
      </c>
      <c r="AD427" s="115">
        <f>IF(X427="","",IF(C427="",B427,C427))</f>
        <v/>
      </c>
      <c r="AE427" s="109">
        <f>IF(B427="","",WEEKDAY(B427,2))</f>
        <v/>
      </c>
      <c r="AF427" s="112">
        <f>IF(X427="","",'Paramètres'!$C$9+SUM($X$6:X427))</f>
        <v/>
      </c>
      <c r="AG427" s="112">
        <f>IF(AF427="","",MAX('Paramètres'!$C$9,MAX($AF$6:AF427)))</f>
        <v/>
      </c>
      <c r="AH427" s="116">
        <f>IF(AF427="","",AF427/AG427-1)</f>
        <v/>
      </c>
      <c r="AI427" s="109">
        <f>IF(X427="","",IF(X427&gt;0,IF(N(AI426)&gt;0,N(AI426)+1,1),IF(X427&lt;0,IF(N(AI426)&lt;0,N(AI426)-1,-1),0)))</f>
        <v/>
      </c>
      <c r="AJ427" s="116">
        <f>IF(Z427="","",IFERROR(Z427/('Paramètres'!$C$9+SUM($X$5:X426)),""))</f>
        <v/>
      </c>
      <c r="AK427" s="109">
        <f>IF(AC427="Ouvert",COUNTIF($AC$6:AC427,"Ouvert"),"")</f>
        <v/>
      </c>
    </row>
    <row r="428" ht="19" customHeight="1">
      <c r="A428" s="104">
        <f>IF(B428="","",ROW()-5)</f>
        <v/>
      </c>
      <c r="B428" s="61" t="n"/>
      <c r="C428" s="61" t="n"/>
      <c r="D428" s="105" t="n"/>
      <c r="E428" s="49" t="n"/>
      <c r="F428" s="105" t="n"/>
      <c r="G428" s="49" t="n"/>
      <c r="H428" s="106" t="n"/>
      <c r="I428" s="107" t="n"/>
      <c r="J428" s="107" t="n"/>
      <c r="K428" s="107" t="n"/>
      <c r="L428" s="107" t="n"/>
      <c r="M428" s="106" t="n"/>
      <c r="N428" s="62" t="n"/>
      <c r="O428" s="49" t="n"/>
      <c r="P428" s="49" t="n"/>
      <c r="Q428" s="105" t="n"/>
      <c r="R428" s="105" t="n"/>
      <c r="S428" s="105" t="n"/>
      <c r="T428" s="105" t="n"/>
      <c r="U428" s="108">
        <f>IF(OR(H428="",I428="",I428=0),"",H428/I428)</f>
        <v/>
      </c>
      <c r="V428" s="109">
        <f>IF(OR(B428="",C428="",L428=""),"",MAX(0,C428-B428))</f>
        <v/>
      </c>
      <c r="W428" s="110">
        <f>IF(OR(L428="",U428=""),"",IF(E428="Short",(I428-L428)*U428,(L428-I428)*U428))</f>
        <v/>
      </c>
      <c r="X428" s="110">
        <f>IF(W428="","",W428-IF(M428="",0,M428))</f>
        <v/>
      </c>
      <c r="Y428" s="111">
        <f>IF(OR(X428="",H428="",H428=0),"",X428/H428)</f>
        <v/>
      </c>
      <c r="Z428" s="112">
        <f>IF(OR(I428="",J428="",U428=""),"",ABS(I428-J428)*U428)</f>
        <v/>
      </c>
      <c r="AA428" s="113">
        <f>IF(OR(X428="",Z428="",Z428=0),"",X428/Z428)</f>
        <v/>
      </c>
      <c r="AB428" s="114">
        <f>IF(OR(I428="",J428="",K428="",I428=J428),"",ABS(K428-I428)/ABS(I428-J428))</f>
        <v/>
      </c>
      <c r="AC428" s="51">
        <f>IF(OR(B428="",D428="",H428="",I428=""),"",IF(L428="","Ouvert",IF(X428&gt;0,"Gagné",IF(X428&lt;0,"Perdu","Neutre"))))</f>
        <v/>
      </c>
      <c r="AD428" s="115">
        <f>IF(X428="","",IF(C428="",B428,C428))</f>
        <v/>
      </c>
      <c r="AE428" s="109">
        <f>IF(B428="","",WEEKDAY(B428,2))</f>
        <v/>
      </c>
      <c r="AF428" s="112">
        <f>IF(X428="","",'Paramètres'!$C$9+SUM($X$6:X428))</f>
        <v/>
      </c>
      <c r="AG428" s="112">
        <f>IF(AF428="","",MAX('Paramètres'!$C$9,MAX($AF$6:AF428)))</f>
        <v/>
      </c>
      <c r="AH428" s="116">
        <f>IF(AF428="","",AF428/AG428-1)</f>
        <v/>
      </c>
      <c r="AI428" s="109">
        <f>IF(X428="","",IF(X428&gt;0,IF(N(AI427)&gt;0,N(AI427)+1,1),IF(X428&lt;0,IF(N(AI427)&lt;0,N(AI427)-1,-1),0)))</f>
        <v/>
      </c>
      <c r="AJ428" s="116">
        <f>IF(Z428="","",IFERROR(Z428/('Paramètres'!$C$9+SUM($X$5:X427)),""))</f>
        <v/>
      </c>
      <c r="AK428" s="109">
        <f>IF(AC428="Ouvert",COUNTIF($AC$6:AC428,"Ouvert"),"")</f>
        <v/>
      </c>
    </row>
    <row r="429" ht="19" customHeight="1">
      <c r="A429" s="104">
        <f>IF(B429="","",ROW()-5)</f>
        <v/>
      </c>
      <c r="B429" s="61" t="n"/>
      <c r="C429" s="61" t="n"/>
      <c r="D429" s="105" t="n"/>
      <c r="E429" s="49" t="n"/>
      <c r="F429" s="105" t="n"/>
      <c r="G429" s="49" t="n"/>
      <c r="H429" s="106" t="n"/>
      <c r="I429" s="107" t="n"/>
      <c r="J429" s="107" t="n"/>
      <c r="K429" s="107" t="n"/>
      <c r="L429" s="107" t="n"/>
      <c r="M429" s="106" t="n"/>
      <c r="N429" s="62" t="n"/>
      <c r="O429" s="49" t="n"/>
      <c r="P429" s="49" t="n"/>
      <c r="Q429" s="105" t="n"/>
      <c r="R429" s="105" t="n"/>
      <c r="S429" s="105" t="n"/>
      <c r="T429" s="105" t="n"/>
      <c r="U429" s="108">
        <f>IF(OR(H429="",I429="",I429=0),"",H429/I429)</f>
        <v/>
      </c>
      <c r="V429" s="109">
        <f>IF(OR(B429="",C429="",L429=""),"",MAX(0,C429-B429))</f>
        <v/>
      </c>
      <c r="W429" s="110">
        <f>IF(OR(L429="",U429=""),"",IF(E429="Short",(I429-L429)*U429,(L429-I429)*U429))</f>
        <v/>
      </c>
      <c r="X429" s="110">
        <f>IF(W429="","",W429-IF(M429="",0,M429))</f>
        <v/>
      </c>
      <c r="Y429" s="111">
        <f>IF(OR(X429="",H429="",H429=0),"",X429/H429)</f>
        <v/>
      </c>
      <c r="Z429" s="112">
        <f>IF(OR(I429="",J429="",U429=""),"",ABS(I429-J429)*U429)</f>
        <v/>
      </c>
      <c r="AA429" s="113">
        <f>IF(OR(X429="",Z429="",Z429=0),"",X429/Z429)</f>
        <v/>
      </c>
      <c r="AB429" s="114">
        <f>IF(OR(I429="",J429="",K429="",I429=J429),"",ABS(K429-I429)/ABS(I429-J429))</f>
        <v/>
      </c>
      <c r="AC429" s="51">
        <f>IF(OR(B429="",D429="",H429="",I429=""),"",IF(L429="","Ouvert",IF(X429&gt;0,"Gagné",IF(X429&lt;0,"Perdu","Neutre"))))</f>
        <v/>
      </c>
      <c r="AD429" s="115">
        <f>IF(X429="","",IF(C429="",B429,C429))</f>
        <v/>
      </c>
      <c r="AE429" s="109">
        <f>IF(B429="","",WEEKDAY(B429,2))</f>
        <v/>
      </c>
      <c r="AF429" s="112">
        <f>IF(X429="","",'Paramètres'!$C$9+SUM($X$6:X429))</f>
        <v/>
      </c>
      <c r="AG429" s="112">
        <f>IF(AF429="","",MAX('Paramètres'!$C$9,MAX($AF$6:AF429)))</f>
        <v/>
      </c>
      <c r="AH429" s="116">
        <f>IF(AF429="","",AF429/AG429-1)</f>
        <v/>
      </c>
      <c r="AI429" s="109">
        <f>IF(X429="","",IF(X429&gt;0,IF(N(AI428)&gt;0,N(AI428)+1,1),IF(X429&lt;0,IF(N(AI428)&lt;0,N(AI428)-1,-1),0)))</f>
        <v/>
      </c>
      <c r="AJ429" s="116">
        <f>IF(Z429="","",IFERROR(Z429/('Paramètres'!$C$9+SUM($X$5:X428)),""))</f>
        <v/>
      </c>
      <c r="AK429" s="109">
        <f>IF(AC429="Ouvert",COUNTIF($AC$6:AC429,"Ouvert"),"")</f>
        <v/>
      </c>
    </row>
    <row r="430" ht="19" customHeight="1">
      <c r="A430" s="104">
        <f>IF(B430="","",ROW()-5)</f>
        <v/>
      </c>
      <c r="B430" s="61" t="n"/>
      <c r="C430" s="61" t="n"/>
      <c r="D430" s="105" t="n"/>
      <c r="E430" s="49" t="n"/>
      <c r="F430" s="105" t="n"/>
      <c r="G430" s="49" t="n"/>
      <c r="H430" s="106" t="n"/>
      <c r="I430" s="107" t="n"/>
      <c r="J430" s="107" t="n"/>
      <c r="K430" s="107" t="n"/>
      <c r="L430" s="107" t="n"/>
      <c r="M430" s="106" t="n"/>
      <c r="N430" s="62" t="n"/>
      <c r="O430" s="49" t="n"/>
      <c r="P430" s="49" t="n"/>
      <c r="Q430" s="105" t="n"/>
      <c r="R430" s="105" t="n"/>
      <c r="S430" s="105" t="n"/>
      <c r="T430" s="105" t="n"/>
      <c r="U430" s="108">
        <f>IF(OR(H430="",I430="",I430=0),"",H430/I430)</f>
        <v/>
      </c>
      <c r="V430" s="109">
        <f>IF(OR(B430="",C430="",L430=""),"",MAX(0,C430-B430))</f>
        <v/>
      </c>
      <c r="W430" s="110">
        <f>IF(OR(L430="",U430=""),"",IF(E430="Short",(I430-L430)*U430,(L430-I430)*U430))</f>
        <v/>
      </c>
      <c r="X430" s="110">
        <f>IF(W430="","",W430-IF(M430="",0,M430))</f>
        <v/>
      </c>
      <c r="Y430" s="111">
        <f>IF(OR(X430="",H430="",H430=0),"",X430/H430)</f>
        <v/>
      </c>
      <c r="Z430" s="112">
        <f>IF(OR(I430="",J430="",U430=""),"",ABS(I430-J430)*U430)</f>
        <v/>
      </c>
      <c r="AA430" s="113">
        <f>IF(OR(X430="",Z430="",Z430=0),"",X430/Z430)</f>
        <v/>
      </c>
      <c r="AB430" s="114">
        <f>IF(OR(I430="",J430="",K430="",I430=J430),"",ABS(K430-I430)/ABS(I430-J430))</f>
        <v/>
      </c>
      <c r="AC430" s="51">
        <f>IF(OR(B430="",D430="",H430="",I430=""),"",IF(L430="","Ouvert",IF(X430&gt;0,"Gagné",IF(X430&lt;0,"Perdu","Neutre"))))</f>
        <v/>
      </c>
      <c r="AD430" s="115">
        <f>IF(X430="","",IF(C430="",B430,C430))</f>
        <v/>
      </c>
      <c r="AE430" s="109">
        <f>IF(B430="","",WEEKDAY(B430,2))</f>
        <v/>
      </c>
      <c r="AF430" s="112">
        <f>IF(X430="","",'Paramètres'!$C$9+SUM($X$6:X430))</f>
        <v/>
      </c>
      <c r="AG430" s="112">
        <f>IF(AF430="","",MAX('Paramètres'!$C$9,MAX($AF$6:AF430)))</f>
        <v/>
      </c>
      <c r="AH430" s="116">
        <f>IF(AF430="","",AF430/AG430-1)</f>
        <v/>
      </c>
      <c r="AI430" s="109">
        <f>IF(X430="","",IF(X430&gt;0,IF(N(AI429)&gt;0,N(AI429)+1,1),IF(X430&lt;0,IF(N(AI429)&lt;0,N(AI429)-1,-1),0)))</f>
        <v/>
      </c>
      <c r="AJ430" s="116">
        <f>IF(Z430="","",IFERROR(Z430/('Paramètres'!$C$9+SUM($X$5:X429)),""))</f>
        <v/>
      </c>
      <c r="AK430" s="109">
        <f>IF(AC430="Ouvert",COUNTIF($AC$6:AC430,"Ouvert"),"")</f>
        <v/>
      </c>
    </row>
    <row r="431" ht="19" customHeight="1">
      <c r="A431" s="104">
        <f>IF(B431="","",ROW()-5)</f>
        <v/>
      </c>
      <c r="B431" s="61" t="n"/>
      <c r="C431" s="61" t="n"/>
      <c r="D431" s="105" t="n"/>
      <c r="E431" s="49" t="n"/>
      <c r="F431" s="105" t="n"/>
      <c r="G431" s="49" t="n"/>
      <c r="H431" s="106" t="n"/>
      <c r="I431" s="107" t="n"/>
      <c r="J431" s="107" t="n"/>
      <c r="K431" s="107" t="n"/>
      <c r="L431" s="107" t="n"/>
      <c r="M431" s="106" t="n"/>
      <c r="N431" s="62" t="n"/>
      <c r="O431" s="49" t="n"/>
      <c r="P431" s="49" t="n"/>
      <c r="Q431" s="105" t="n"/>
      <c r="R431" s="105" t="n"/>
      <c r="S431" s="105" t="n"/>
      <c r="T431" s="105" t="n"/>
      <c r="U431" s="108">
        <f>IF(OR(H431="",I431="",I431=0),"",H431/I431)</f>
        <v/>
      </c>
      <c r="V431" s="109">
        <f>IF(OR(B431="",C431="",L431=""),"",MAX(0,C431-B431))</f>
        <v/>
      </c>
      <c r="W431" s="110">
        <f>IF(OR(L431="",U431=""),"",IF(E431="Short",(I431-L431)*U431,(L431-I431)*U431))</f>
        <v/>
      </c>
      <c r="X431" s="110">
        <f>IF(W431="","",W431-IF(M431="",0,M431))</f>
        <v/>
      </c>
      <c r="Y431" s="111">
        <f>IF(OR(X431="",H431="",H431=0),"",X431/H431)</f>
        <v/>
      </c>
      <c r="Z431" s="112">
        <f>IF(OR(I431="",J431="",U431=""),"",ABS(I431-J431)*U431)</f>
        <v/>
      </c>
      <c r="AA431" s="113">
        <f>IF(OR(X431="",Z431="",Z431=0),"",X431/Z431)</f>
        <v/>
      </c>
      <c r="AB431" s="114">
        <f>IF(OR(I431="",J431="",K431="",I431=J431),"",ABS(K431-I431)/ABS(I431-J431))</f>
        <v/>
      </c>
      <c r="AC431" s="51">
        <f>IF(OR(B431="",D431="",H431="",I431=""),"",IF(L431="","Ouvert",IF(X431&gt;0,"Gagné",IF(X431&lt;0,"Perdu","Neutre"))))</f>
        <v/>
      </c>
      <c r="AD431" s="115">
        <f>IF(X431="","",IF(C431="",B431,C431))</f>
        <v/>
      </c>
      <c r="AE431" s="109">
        <f>IF(B431="","",WEEKDAY(B431,2))</f>
        <v/>
      </c>
      <c r="AF431" s="112">
        <f>IF(X431="","",'Paramètres'!$C$9+SUM($X$6:X431))</f>
        <v/>
      </c>
      <c r="AG431" s="112">
        <f>IF(AF431="","",MAX('Paramètres'!$C$9,MAX($AF$6:AF431)))</f>
        <v/>
      </c>
      <c r="AH431" s="116">
        <f>IF(AF431="","",AF431/AG431-1)</f>
        <v/>
      </c>
      <c r="AI431" s="109">
        <f>IF(X431="","",IF(X431&gt;0,IF(N(AI430)&gt;0,N(AI430)+1,1),IF(X431&lt;0,IF(N(AI430)&lt;0,N(AI430)-1,-1),0)))</f>
        <v/>
      </c>
      <c r="AJ431" s="116">
        <f>IF(Z431="","",IFERROR(Z431/('Paramètres'!$C$9+SUM($X$5:X430)),""))</f>
        <v/>
      </c>
      <c r="AK431" s="109">
        <f>IF(AC431="Ouvert",COUNTIF($AC$6:AC431,"Ouvert"),"")</f>
        <v/>
      </c>
    </row>
    <row r="432" ht="19" customHeight="1">
      <c r="A432" s="104">
        <f>IF(B432="","",ROW()-5)</f>
        <v/>
      </c>
      <c r="B432" s="61" t="n"/>
      <c r="C432" s="61" t="n"/>
      <c r="D432" s="105" t="n"/>
      <c r="E432" s="49" t="n"/>
      <c r="F432" s="105" t="n"/>
      <c r="G432" s="49" t="n"/>
      <c r="H432" s="106" t="n"/>
      <c r="I432" s="107" t="n"/>
      <c r="J432" s="107" t="n"/>
      <c r="K432" s="107" t="n"/>
      <c r="L432" s="107" t="n"/>
      <c r="M432" s="106" t="n"/>
      <c r="N432" s="62" t="n"/>
      <c r="O432" s="49" t="n"/>
      <c r="P432" s="49" t="n"/>
      <c r="Q432" s="105" t="n"/>
      <c r="R432" s="105" t="n"/>
      <c r="S432" s="105" t="n"/>
      <c r="T432" s="105" t="n"/>
      <c r="U432" s="108">
        <f>IF(OR(H432="",I432="",I432=0),"",H432/I432)</f>
        <v/>
      </c>
      <c r="V432" s="109">
        <f>IF(OR(B432="",C432="",L432=""),"",MAX(0,C432-B432))</f>
        <v/>
      </c>
      <c r="W432" s="110">
        <f>IF(OR(L432="",U432=""),"",IF(E432="Short",(I432-L432)*U432,(L432-I432)*U432))</f>
        <v/>
      </c>
      <c r="X432" s="110">
        <f>IF(W432="","",W432-IF(M432="",0,M432))</f>
        <v/>
      </c>
      <c r="Y432" s="111">
        <f>IF(OR(X432="",H432="",H432=0),"",X432/H432)</f>
        <v/>
      </c>
      <c r="Z432" s="112">
        <f>IF(OR(I432="",J432="",U432=""),"",ABS(I432-J432)*U432)</f>
        <v/>
      </c>
      <c r="AA432" s="113">
        <f>IF(OR(X432="",Z432="",Z432=0),"",X432/Z432)</f>
        <v/>
      </c>
      <c r="AB432" s="114">
        <f>IF(OR(I432="",J432="",K432="",I432=J432),"",ABS(K432-I432)/ABS(I432-J432))</f>
        <v/>
      </c>
      <c r="AC432" s="51">
        <f>IF(OR(B432="",D432="",H432="",I432=""),"",IF(L432="","Ouvert",IF(X432&gt;0,"Gagné",IF(X432&lt;0,"Perdu","Neutre"))))</f>
        <v/>
      </c>
      <c r="AD432" s="115">
        <f>IF(X432="","",IF(C432="",B432,C432))</f>
        <v/>
      </c>
      <c r="AE432" s="109">
        <f>IF(B432="","",WEEKDAY(B432,2))</f>
        <v/>
      </c>
      <c r="AF432" s="112">
        <f>IF(X432="","",'Paramètres'!$C$9+SUM($X$6:X432))</f>
        <v/>
      </c>
      <c r="AG432" s="112">
        <f>IF(AF432="","",MAX('Paramètres'!$C$9,MAX($AF$6:AF432)))</f>
        <v/>
      </c>
      <c r="AH432" s="116">
        <f>IF(AF432="","",AF432/AG432-1)</f>
        <v/>
      </c>
      <c r="AI432" s="109">
        <f>IF(X432="","",IF(X432&gt;0,IF(N(AI431)&gt;0,N(AI431)+1,1),IF(X432&lt;0,IF(N(AI431)&lt;0,N(AI431)-1,-1),0)))</f>
        <v/>
      </c>
      <c r="AJ432" s="116">
        <f>IF(Z432="","",IFERROR(Z432/('Paramètres'!$C$9+SUM($X$5:X431)),""))</f>
        <v/>
      </c>
      <c r="AK432" s="109">
        <f>IF(AC432="Ouvert",COUNTIF($AC$6:AC432,"Ouvert"),"")</f>
        <v/>
      </c>
    </row>
    <row r="433" ht="19" customHeight="1">
      <c r="A433" s="104">
        <f>IF(B433="","",ROW()-5)</f>
        <v/>
      </c>
      <c r="B433" s="61" t="n"/>
      <c r="C433" s="61" t="n"/>
      <c r="D433" s="105" t="n"/>
      <c r="E433" s="49" t="n"/>
      <c r="F433" s="105" t="n"/>
      <c r="G433" s="49" t="n"/>
      <c r="H433" s="106" t="n"/>
      <c r="I433" s="107" t="n"/>
      <c r="J433" s="107" t="n"/>
      <c r="K433" s="107" t="n"/>
      <c r="L433" s="107" t="n"/>
      <c r="M433" s="106" t="n"/>
      <c r="N433" s="62" t="n"/>
      <c r="O433" s="49" t="n"/>
      <c r="P433" s="49" t="n"/>
      <c r="Q433" s="105" t="n"/>
      <c r="R433" s="105" t="n"/>
      <c r="S433" s="105" t="n"/>
      <c r="T433" s="105" t="n"/>
      <c r="U433" s="108">
        <f>IF(OR(H433="",I433="",I433=0),"",H433/I433)</f>
        <v/>
      </c>
      <c r="V433" s="109">
        <f>IF(OR(B433="",C433="",L433=""),"",MAX(0,C433-B433))</f>
        <v/>
      </c>
      <c r="W433" s="110">
        <f>IF(OR(L433="",U433=""),"",IF(E433="Short",(I433-L433)*U433,(L433-I433)*U433))</f>
        <v/>
      </c>
      <c r="X433" s="110">
        <f>IF(W433="","",W433-IF(M433="",0,M433))</f>
        <v/>
      </c>
      <c r="Y433" s="111">
        <f>IF(OR(X433="",H433="",H433=0),"",X433/H433)</f>
        <v/>
      </c>
      <c r="Z433" s="112">
        <f>IF(OR(I433="",J433="",U433=""),"",ABS(I433-J433)*U433)</f>
        <v/>
      </c>
      <c r="AA433" s="113">
        <f>IF(OR(X433="",Z433="",Z433=0),"",X433/Z433)</f>
        <v/>
      </c>
      <c r="AB433" s="114">
        <f>IF(OR(I433="",J433="",K433="",I433=J433),"",ABS(K433-I433)/ABS(I433-J433))</f>
        <v/>
      </c>
      <c r="AC433" s="51">
        <f>IF(OR(B433="",D433="",H433="",I433=""),"",IF(L433="","Ouvert",IF(X433&gt;0,"Gagné",IF(X433&lt;0,"Perdu","Neutre"))))</f>
        <v/>
      </c>
      <c r="AD433" s="115">
        <f>IF(X433="","",IF(C433="",B433,C433))</f>
        <v/>
      </c>
      <c r="AE433" s="109">
        <f>IF(B433="","",WEEKDAY(B433,2))</f>
        <v/>
      </c>
      <c r="AF433" s="112">
        <f>IF(X433="","",'Paramètres'!$C$9+SUM($X$6:X433))</f>
        <v/>
      </c>
      <c r="AG433" s="112">
        <f>IF(AF433="","",MAX('Paramètres'!$C$9,MAX($AF$6:AF433)))</f>
        <v/>
      </c>
      <c r="AH433" s="116">
        <f>IF(AF433="","",AF433/AG433-1)</f>
        <v/>
      </c>
      <c r="AI433" s="109">
        <f>IF(X433="","",IF(X433&gt;0,IF(N(AI432)&gt;0,N(AI432)+1,1),IF(X433&lt;0,IF(N(AI432)&lt;0,N(AI432)-1,-1),0)))</f>
        <v/>
      </c>
      <c r="AJ433" s="116">
        <f>IF(Z433="","",IFERROR(Z433/('Paramètres'!$C$9+SUM($X$5:X432)),""))</f>
        <v/>
      </c>
      <c r="AK433" s="109">
        <f>IF(AC433="Ouvert",COUNTIF($AC$6:AC433,"Ouvert"),"")</f>
        <v/>
      </c>
    </row>
    <row r="434" ht="19" customHeight="1">
      <c r="A434" s="104">
        <f>IF(B434="","",ROW()-5)</f>
        <v/>
      </c>
      <c r="B434" s="61" t="n"/>
      <c r="C434" s="61" t="n"/>
      <c r="D434" s="105" t="n"/>
      <c r="E434" s="49" t="n"/>
      <c r="F434" s="105" t="n"/>
      <c r="G434" s="49" t="n"/>
      <c r="H434" s="106" t="n"/>
      <c r="I434" s="107" t="n"/>
      <c r="J434" s="107" t="n"/>
      <c r="K434" s="107" t="n"/>
      <c r="L434" s="107" t="n"/>
      <c r="M434" s="106" t="n"/>
      <c r="N434" s="62" t="n"/>
      <c r="O434" s="49" t="n"/>
      <c r="P434" s="49" t="n"/>
      <c r="Q434" s="105" t="n"/>
      <c r="R434" s="105" t="n"/>
      <c r="S434" s="105" t="n"/>
      <c r="T434" s="105" t="n"/>
      <c r="U434" s="108">
        <f>IF(OR(H434="",I434="",I434=0),"",H434/I434)</f>
        <v/>
      </c>
      <c r="V434" s="109">
        <f>IF(OR(B434="",C434="",L434=""),"",MAX(0,C434-B434))</f>
        <v/>
      </c>
      <c r="W434" s="110">
        <f>IF(OR(L434="",U434=""),"",IF(E434="Short",(I434-L434)*U434,(L434-I434)*U434))</f>
        <v/>
      </c>
      <c r="X434" s="110">
        <f>IF(W434="","",W434-IF(M434="",0,M434))</f>
        <v/>
      </c>
      <c r="Y434" s="111">
        <f>IF(OR(X434="",H434="",H434=0),"",X434/H434)</f>
        <v/>
      </c>
      <c r="Z434" s="112">
        <f>IF(OR(I434="",J434="",U434=""),"",ABS(I434-J434)*U434)</f>
        <v/>
      </c>
      <c r="AA434" s="113">
        <f>IF(OR(X434="",Z434="",Z434=0),"",X434/Z434)</f>
        <v/>
      </c>
      <c r="AB434" s="114">
        <f>IF(OR(I434="",J434="",K434="",I434=J434),"",ABS(K434-I434)/ABS(I434-J434))</f>
        <v/>
      </c>
      <c r="AC434" s="51">
        <f>IF(OR(B434="",D434="",H434="",I434=""),"",IF(L434="","Ouvert",IF(X434&gt;0,"Gagné",IF(X434&lt;0,"Perdu","Neutre"))))</f>
        <v/>
      </c>
      <c r="AD434" s="115">
        <f>IF(X434="","",IF(C434="",B434,C434))</f>
        <v/>
      </c>
      <c r="AE434" s="109">
        <f>IF(B434="","",WEEKDAY(B434,2))</f>
        <v/>
      </c>
      <c r="AF434" s="112">
        <f>IF(X434="","",'Paramètres'!$C$9+SUM($X$6:X434))</f>
        <v/>
      </c>
      <c r="AG434" s="112">
        <f>IF(AF434="","",MAX('Paramètres'!$C$9,MAX($AF$6:AF434)))</f>
        <v/>
      </c>
      <c r="AH434" s="116">
        <f>IF(AF434="","",AF434/AG434-1)</f>
        <v/>
      </c>
      <c r="AI434" s="109">
        <f>IF(X434="","",IF(X434&gt;0,IF(N(AI433)&gt;0,N(AI433)+1,1),IF(X434&lt;0,IF(N(AI433)&lt;0,N(AI433)-1,-1),0)))</f>
        <v/>
      </c>
      <c r="AJ434" s="116">
        <f>IF(Z434="","",IFERROR(Z434/('Paramètres'!$C$9+SUM($X$5:X433)),""))</f>
        <v/>
      </c>
      <c r="AK434" s="109">
        <f>IF(AC434="Ouvert",COUNTIF($AC$6:AC434,"Ouvert"),"")</f>
        <v/>
      </c>
    </row>
    <row r="435" ht="19" customHeight="1">
      <c r="A435" s="104">
        <f>IF(B435="","",ROW()-5)</f>
        <v/>
      </c>
      <c r="B435" s="61" t="n"/>
      <c r="C435" s="61" t="n"/>
      <c r="D435" s="105" t="n"/>
      <c r="E435" s="49" t="n"/>
      <c r="F435" s="105" t="n"/>
      <c r="G435" s="49" t="n"/>
      <c r="H435" s="106" t="n"/>
      <c r="I435" s="107" t="n"/>
      <c r="J435" s="107" t="n"/>
      <c r="K435" s="107" t="n"/>
      <c r="L435" s="107" t="n"/>
      <c r="M435" s="106" t="n"/>
      <c r="N435" s="62" t="n"/>
      <c r="O435" s="49" t="n"/>
      <c r="P435" s="49" t="n"/>
      <c r="Q435" s="105" t="n"/>
      <c r="R435" s="105" t="n"/>
      <c r="S435" s="105" t="n"/>
      <c r="T435" s="105" t="n"/>
      <c r="U435" s="108">
        <f>IF(OR(H435="",I435="",I435=0),"",H435/I435)</f>
        <v/>
      </c>
      <c r="V435" s="109">
        <f>IF(OR(B435="",C435="",L435=""),"",MAX(0,C435-B435))</f>
        <v/>
      </c>
      <c r="W435" s="110">
        <f>IF(OR(L435="",U435=""),"",IF(E435="Short",(I435-L435)*U435,(L435-I435)*U435))</f>
        <v/>
      </c>
      <c r="X435" s="110">
        <f>IF(W435="","",W435-IF(M435="",0,M435))</f>
        <v/>
      </c>
      <c r="Y435" s="111">
        <f>IF(OR(X435="",H435="",H435=0),"",X435/H435)</f>
        <v/>
      </c>
      <c r="Z435" s="112">
        <f>IF(OR(I435="",J435="",U435=""),"",ABS(I435-J435)*U435)</f>
        <v/>
      </c>
      <c r="AA435" s="113">
        <f>IF(OR(X435="",Z435="",Z435=0),"",X435/Z435)</f>
        <v/>
      </c>
      <c r="AB435" s="114">
        <f>IF(OR(I435="",J435="",K435="",I435=J435),"",ABS(K435-I435)/ABS(I435-J435))</f>
        <v/>
      </c>
      <c r="AC435" s="51">
        <f>IF(OR(B435="",D435="",H435="",I435=""),"",IF(L435="","Ouvert",IF(X435&gt;0,"Gagné",IF(X435&lt;0,"Perdu","Neutre"))))</f>
        <v/>
      </c>
      <c r="AD435" s="115">
        <f>IF(X435="","",IF(C435="",B435,C435))</f>
        <v/>
      </c>
      <c r="AE435" s="109">
        <f>IF(B435="","",WEEKDAY(B435,2))</f>
        <v/>
      </c>
      <c r="AF435" s="112">
        <f>IF(X435="","",'Paramètres'!$C$9+SUM($X$6:X435))</f>
        <v/>
      </c>
      <c r="AG435" s="112">
        <f>IF(AF435="","",MAX('Paramètres'!$C$9,MAX($AF$6:AF435)))</f>
        <v/>
      </c>
      <c r="AH435" s="116">
        <f>IF(AF435="","",AF435/AG435-1)</f>
        <v/>
      </c>
      <c r="AI435" s="109">
        <f>IF(X435="","",IF(X435&gt;0,IF(N(AI434)&gt;0,N(AI434)+1,1),IF(X435&lt;0,IF(N(AI434)&lt;0,N(AI434)-1,-1),0)))</f>
        <v/>
      </c>
      <c r="AJ435" s="116">
        <f>IF(Z435="","",IFERROR(Z435/('Paramètres'!$C$9+SUM($X$5:X434)),""))</f>
        <v/>
      </c>
      <c r="AK435" s="109">
        <f>IF(AC435="Ouvert",COUNTIF($AC$6:AC435,"Ouvert"),"")</f>
        <v/>
      </c>
    </row>
    <row r="436" ht="19" customHeight="1">
      <c r="A436" s="104">
        <f>IF(B436="","",ROW()-5)</f>
        <v/>
      </c>
      <c r="B436" s="61" t="n"/>
      <c r="C436" s="61" t="n"/>
      <c r="D436" s="105" t="n"/>
      <c r="E436" s="49" t="n"/>
      <c r="F436" s="105" t="n"/>
      <c r="G436" s="49" t="n"/>
      <c r="H436" s="106" t="n"/>
      <c r="I436" s="107" t="n"/>
      <c r="J436" s="107" t="n"/>
      <c r="K436" s="107" t="n"/>
      <c r="L436" s="107" t="n"/>
      <c r="M436" s="106" t="n"/>
      <c r="N436" s="62" t="n"/>
      <c r="O436" s="49" t="n"/>
      <c r="P436" s="49" t="n"/>
      <c r="Q436" s="105" t="n"/>
      <c r="R436" s="105" t="n"/>
      <c r="S436" s="105" t="n"/>
      <c r="T436" s="105" t="n"/>
      <c r="U436" s="108">
        <f>IF(OR(H436="",I436="",I436=0),"",H436/I436)</f>
        <v/>
      </c>
      <c r="V436" s="109">
        <f>IF(OR(B436="",C436="",L436=""),"",MAX(0,C436-B436))</f>
        <v/>
      </c>
      <c r="W436" s="110">
        <f>IF(OR(L436="",U436=""),"",IF(E436="Short",(I436-L436)*U436,(L436-I436)*U436))</f>
        <v/>
      </c>
      <c r="X436" s="110">
        <f>IF(W436="","",W436-IF(M436="",0,M436))</f>
        <v/>
      </c>
      <c r="Y436" s="111">
        <f>IF(OR(X436="",H436="",H436=0),"",X436/H436)</f>
        <v/>
      </c>
      <c r="Z436" s="112">
        <f>IF(OR(I436="",J436="",U436=""),"",ABS(I436-J436)*U436)</f>
        <v/>
      </c>
      <c r="AA436" s="113">
        <f>IF(OR(X436="",Z436="",Z436=0),"",X436/Z436)</f>
        <v/>
      </c>
      <c r="AB436" s="114">
        <f>IF(OR(I436="",J436="",K436="",I436=J436),"",ABS(K436-I436)/ABS(I436-J436))</f>
        <v/>
      </c>
      <c r="AC436" s="51">
        <f>IF(OR(B436="",D436="",H436="",I436=""),"",IF(L436="","Ouvert",IF(X436&gt;0,"Gagné",IF(X436&lt;0,"Perdu","Neutre"))))</f>
        <v/>
      </c>
      <c r="AD436" s="115">
        <f>IF(X436="","",IF(C436="",B436,C436))</f>
        <v/>
      </c>
      <c r="AE436" s="109">
        <f>IF(B436="","",WEEKDAY(B436,2))</f>
        <v/>
      </c>
      <c r="AF436" s="112">
        <f>IF(X436="","",'Paramètres'!$C$9+SUM($X$6:X436))</f>
        <v/>
      </c>
      <c r="AG436" s="112">
        <f>IF(AF436="","",MAX('Paramètres'!$C$9,MAX($AF$6:AF436)))</f>
        <v/>
      </c>
      <c r="AH436" s="116">
        <f>IF(AF436="","",AF436/AG436-1)</f>
        <v/>
      </c>
      <c r="AI436" s="109">
        <f>IF(X436="","",IF(X436&gt;0,IF(N(AI435)&gt;0,N(AI435)+1,1),IF(X436&lt;0,IF(N(AI435)&lt;0,N(AI435)-1,-1),0)))</f>
        <v/>
      </c>
      <c r="AJ436" s="116">
        <f>IF(Z436="","",IFERROR(Z436/('Paramètres'!$C$9+SUM($X$5:X435)),""))</f>
        <v/>
      </c>
      <c r="AK436" s="109">
        <f>IF(AC436="Ouvert",COUNTIF($AC$6:AC436,"Ouvert"),"")</f>
        <v/>
      </c>
    </row>
    <row r="437" ht="19" customHeight="1">
      <c r="A437" s="104">
        <f>IF(B437="","",ROW()-5)</f>
        <v/>
      </c>
      <c r="B437" s="61" t="n"/>
      <c r="C437" s="61" t="n"/>
      <c r="D437" s="105" t="n"/>
      <c r="E437" s="49" t="n"/>
      <c r="F437" s="105" t="n"/>
      <c r="G437" s="49" t="n"/>
      <c r="H437" s="106" t="n"/>
      <c r="I437" s="107" t="n"/>
      <c r="J437" s="107" t="n"/>
      <c r="K437" s="107" t="n"/>
      <c r="L437" s="107" t="n"/>
      <c r="M437" s="106" t="n"/>
      <c r="N437" s="62" t="n"/>
      <c r="O437" s="49" t="n"/>
      <c r="P437" s="49" t="n"/>
      <c r="Q437" s="105" t="n"/>
      <c r="R437" s="105" t="n"/>
      <c r="S437" s="105" t="n"/>
      <c r="T437" s="105" t="n"/>
      <c r="U437" s="108">
        <f>IF(OR(H437="",I437="",I437=0),"",H437/I437)</f>
        <v/>
      </c>
      <c r="V437" s="109">
        <f>IF(OR(B437="",C437="",L437=""),"",MAX(0,C437-B437))</f>
        <v/>
      </c>
      <c r="W437" s="110">
        <f>IF(OR(L437="",U437=""),"",IF(E437="Short",(I437-L437)*U437,(L437-I437)*U437))</f>
        <v/>
      </c>
      <c r="X437" s="110">
        <f>IF(W437="","",W437-IF(M437="",0,M437))</f>
        <v/>
      </c>
      <c r="Y437" s="111">
        <f>IF(OR(X437="",H437="",H437=0),"",X437/H437)</f>
        <v/>
      </c>
      <c r="Z437" s="112">
        <f>IF(OR(I437="",J437="",U437=""),"",ABS(I437-J437)*U437)</f>
        <v/>
      </c>
      <c r="AA437" s="113">
        <f>IF(OR(X437="",Z437="",Z437=0),"",X437/Z437)</f>
        <v/>
      </c>
      <c r="AB437" s="114">
        <f>IF(OR(I437="",J437="",K437="",I437=J437),"",ABS(K437-I437)/ABS(I437-J437))</f>
        <v/>
      </c>
      <c r="AC437" s="51">
        <f>IF(OR(B437="",D437="",H437="",I437=""),"",IF(L437="","Ouvert",IF(X437&gt;0,"Gagné",IF(X437&lt;0,"Perdu","Neutre"))))</f>
        <v/>
      </c>
      <c r="AD437" s="115">
        <f>IF(X437="","",IF(C437="",B437,C437))</f>
        <v/>
      </c>
      <c r="AE437" s="109">
        <f>IF(B437="","",WEEKDAY(B437,2))</f>
        <v/>
      </c>
      <c r="AF437" s="112">
        <f>IF(X437="","",'Paramètres'!$C$9+SUM($X$6:X437))</f>
        <v/>
      </c>
      <c r="AG437" s="112">
        <f>IF(AF437="","",MAX('Paramètres'!$C$9,MAX($AF$6:AF437)))</f>
        <v/>
      </c>
      <c r="AH437" s="116">
        <f>IF(AF437="","",AF437/AG437-1)</f>
        <v/>
      </c>
      <c r="AI437" s="109">
        <f>IF(X437="","",IF(X437&gt;0,IF(N(AI436)&gt;0,N(AI436)+1,1),IF(X437&lt;0,IF(N(AI436)&lt;0,N(AI436)-1,-1),0)))</f>
        <v/>
      </c>
      <c r="AJ437" s="116">
        <f>IF(Z437="","",IFERROR(Z437/('Paramètres'!$C$9+SUM($X$5:X436)),""))</f>
        <v/>
      </c>
      <c r="AK437" s="109">
        <f>IF(AC437="Ouvert",COUNTIF($AC$6:AC437,"Ouvert"),"")</f>
        <v/>
      </c>
    </row>
    <row r="438" ht="19" customHeight="1">
      <c r="A438" s="104">
        <f>IF(B438="","",ROW()-5)</f>
        <v/>
      </c>
      <c r="B438" s="61" t="n"/>
      <c r="C438" s="61" t="n"/>
      <c r="D438" s="105" t="n"/>
      <c r="E438" s="49" t="n"/>
      <c r="F438" s="105" t="n"/>
      <c r="G438" s="49" t="n"/>
      <c r="H438" s="106" t="n"/>
      <c r="I438" s="107" t="n"/>
      <c r="J438" s="107" t="n"/>
      <c r="K438" s="107" t="n"/>
      <c r="L438" s="107" t="n"/>
      <c r="M438" s="106" t="n"/>
      <c r="N438" s="62" t="n"/>
      <c r="O438" s="49" t="n"/>
      <c r="P438" s="49" t="n"/>
      <c r="Q438" s="105" t="n"/>
      <c r="R438" s="105" t="n"/>
      <c r="S438" s="105" t="n"/>
      <c r="T438" s="105" t="n"/>
      <c r="U438" s="108">
        <f>IF(OR(H438="",I438="",I438=0),"",H438/I438)</f>
        <v/>
      </c>
      <c r="V438" s="109">
        <f>IF(OR(B438="",C438="",L438=""),"",MAX(0,C438-B438))</f>
        <v/>
      </c>
      <c r="W438" s="110">
        <f>IF(OR(L438="",U438=""),"",IF(E438="Short",(I438-L438)*U438,(L438-I438)*U438))</f>
        <v/>
      </c>
      <c r="X438" s="110">
        <f>IF(W438="","",W438-IF(M438="",0,M438))</f>
        <v/>
      </c>
      <c r="Y438" s="111">
        <f>IF(OR(X438="",H438="",H438=0),"",X438/H438)</f>
        <v/>
      </c>
      <c r="Z438" s="112">
        <f>IF(OR(I438="",J438="",U438=""),"",ABS(I438-J438)*U438)</f>
        <v/>
      </c>
      <c r="AA438" s="113">
        <f>IF(OR(X438="",Z438="",Z438=0),"",X438/Z438)</f>
        <v/>
      </c>
      <c r="AB438" s="114">
        <f>IF(OR(I438="",J438="",K438="",I438=J438),"",ABS(K438-I438)/ABS(I438-J438))</f>
        <v/>
      </c>
      <c r="AC438" s="51">
        <f>IF(OR(B438="",D438="",H438="",I438=""),"",IF(L438="","Ouvert",IF(X438&gt;0,"Gagné",IF(X438&lt;0,"Perdu","Neutre"))))</f>
        <v/>
      </c>
      <c r="AD438" s="115">
        <f>IF(X438="","",IF(C438="",B438,C438))</f>
        <v/>
      </c>
      <c r="AE438" s="109">
        <f>IF(B438="","",WEEKDAY(B438,2))</f>
        <v/>
      </c>
      <c r="AF438" s="112">
        <f>IF(X438="","",'Paramètres'!$C$9+SUM($X$6:X438))</f>
        <v/>
      </c>
      <c r="AG438" s="112">
        <f>IF(AF438="","",MAX('Paramètres'!$C$9,MAX($AF$6:AF438)))</f>
        <v/>
      </c>
      <c r="AH438" s="116">
        <f>IF(AF438="","",AF438/AG438-1)</f>
        <v/>
      </c>
      <c r="AI438" s="109">
        <f>IF(X438="","",IF(X438&gt;0,IF(N(AI437)&gt;0,N(AI437)+1,1),IF(X438&lt;0,IF(N(AI437)&lt;0,N(AI437)-1,-1),0)))</f>
        <v/>
      </c>
      <c r="AJ438" s="116">
        <f>IF(Z438="","",IFERROR(Z438/('Paramètres'!$C$9+SUM($X$5:X437)),""))</f>
        <v/>
      </c>
      <c r="AK438" s="109">
        <f>IF(AC438="Ouvert",COUNTIF($AC$6:AC438,"Ouvert"),"")</f>
        <v/>
      </c>
    </row>
    <row r="439" ht="19" customHeight="1">
      <c r="A439" s="104">
        <f>IF(B439="","",ROW()-5)</f>
        <v/>
      </c>
      <c r="B439" s="61" t="n"/>
      <c r="C439" s="61" t="n"/>
      <c r="D439" s="105" t="n"/>
      <c r="E439" s="49" t="n"/>
      <c r="F439" s="105" t="n"/>
      <c r="G439" s="49" t="n"/>
      <c r="H439" s="106" t="n"/>
      <c r="I439" s="107" t="n"/>
      <c r="J439" s="107" t="n"/>
      <c r="K439" s="107" t="n"/>
      <c r="L439" s="107" t="n"/>
      <c r="M439" s="106" t="n"/>
      <c r="N439" s="62" t="n"/>
      <c r="O439" s="49" t="n"/>
      <c r="P439" s="49" t="n"/>
      <c r="Q439" s="105" t="n"/>
      <c r="R439" s="105" t="n"/>
      <c r="S439" s="105" t="n"/>
      <c r="T439" s="105" t="n"/>
      <c r="U439" s="108">
        <f>IF(OR(H439="",I439="",I439=0),"",H439/I439)</f>
        <v/>
      </c>
      <c r="V439" s="109">
        <f>IF(OR(B439="",C439="",L439=""),"",MAX(0,C439-B439))</f>
        <v/>
      </c>
      <c r="W439" s="110">
        <f>IF(OR(L439="",U439=""),"",IF(E439="Short",(I439-L439)*U439,(L439-I439)*U439))</f>
        <v/>
      </c>
      <c r="X439" s="110">
        <f>IF(W439="","",W439-IF(M439="",0,M439))</f>
        <v/>
      </c>
      <c r="Y439" s="111">
        <f>IF(OR(X439="",H439="",H439=0),"",X439/H439)</f>
        <v/>
      </c>
      <c r="Z439" s="112">
        <f>IF(OR(I439="",J439="",U439=""),"",ABS(I439-J439)*U439)</f>
        <v/>
      </c>
      <c r="AA439" s="113">
        <f>IF(OR(X439="",Z439="",Z439=0),"",X439/Z439)</f>
        <v/>
      </c>
      <c r="AB439" s="114">
        <f>IF(OR(I439="",J439="",K439="",I439=J439),"",ABS(K439-I439)/ABS(I439-J439))</f>
        <v/>
      </c>
      <c r="AC439" s="51">
        <f>IF(OR(B439="",D439="",H439="",I439=""),"",IF(L439="","Ouvert",IF(X439&gt;0,"Gagné",IF(X439&lt;0,"Perdu","Neutre"))))</f>
        <v/>
      </c>
      <c r="AD439" s="115">
        <f>IF(X439="","",IF(C439="",B439,C439))</f>
        <v/>
      </c>
      <c r="AE439" s="109">
        <f>IF(B439="","",WEEKDAY(B439,2))</f>
        <v/>
      </c>
      <c r="AF439" s="112">
        <f>IF(X439="","",'Paramètres'!$C$9+SUM($X$6:X439))</f>
        <v/>
      </c>
      <c r="AG439" s="112">
        <f>IF(AF439="","",MAX('Paramètres'!$C$9,MAX($AF$6:AF439)))</f>
        <v/>
      </c>
      <c r="AH439" s="116">
        <f>IF(AF439="","",AF439/AG439-1)</f>
        <v/>
      </c>
      <c r="AI439" s="109">
        <f>IF(X439="","",IF(X439&gt;0,IF(N(AI438)&gt;0,N(AI438)+1,1),IF(X439&lt;0,IF(N(AI438)&lt;0,N(AI438)-1,-1),0)))</f>
        <v/>
      </c>
      <c r="AJ439" s="116">
        <f>IF(Z439="","",IFERROR(Z439/('Paramètres'!$C$9+SUM($X$5:X438)),""))</f>
        <v/>
      </c>
      <c r="AK439" s="109">
        <f>IF(AC439="Ouvert",COUNTIF($AC$6:AC439,"Ouvert"),"")</f>
        <v/>
      </c>
    </row>
    <row r="440" ht="19" customHeight="1">
      <c r="A440" s="104">
        <f>IF(B440="","",ROW()-5)</f>
        <v/>
      </c>
      <c r="B440" s="61" t="n"/>
      <c r="C440" s="61" t="n"/>
      <c r="D440" s="105" t="n"/>
      <c r="E440" s="49" t="n"/>
      <c r="F440" s="105" t="n"/>
      <c r="G440" s="49" t="n"/>
      <c r="H440" s="106" t="n"/>
      <c r="I440" s="107" t="n"/>
      <c r="J440" s="107" t="n"/>
      <c r="K440" s="107" t="n"/>
      <c r="L440" s="107" t="n"/>
      <c r="M440" s="106" t="n"/>
      <c r="N440" s="62" t="n"/>
      <c r="O440" s="49" t="n"/>
      <c r="P440" s="49" t="n"/>
      <c r="Q440" s="105" t="n"/>
      <c r="R440" s="105" t="n"/>
      <c r="S440" s="105" t="n"/>
      <c r="T440" s="105" t="n"/>
      <c r="U440" s="108">
        <f>IF(OR(H440="",I440="",I440=0),"",H440/I440)</f>
        <v/>
      </c>
      <c r="V440" s="109">
        <f>IF(OR(B440="",C440="",L440=""),"",MAX(0,C440-B440))</f>
        <v/>
      </c>
      <c r="W440" s="110">
        <f>IF(OR(L440="",U440=""),"",IF(E440="Short",(I440-L440)*U440,(L440-I440)*U440))</f>
        <v/>
      </c>
      <c r="X440" s="110">
        <f>IF(W440="","",W440-IF(M440="",0,M440))</f>
        <v/>
      </c>
      <c r="Y440" s="111">
        <f>IF(OR(X440="",H440="",H440=0),"",X440/H440)</f>
        <v/>
      </c>
      <c r="Z440" s="112">
        <f>IF(OR(I440="",J440="",U440=""),"",ABS(I440-J440)*U440)</f>
        <v/>
      </c>
      <c r="AA440" s="113">
        <f>IF(OR(X440="",Z440="",Z440=0),"",X440/Z440)</f>
        <v/>
      </c>
      <c r="AB440" s="114">
        <f>IF(OR(I440="",J440="",K440="",I440=J440),"",ABS(K440-I440)/ABS(I440-J440))</f>
        <v/>
      </c>
      <c r="AC440" s="51">
        <f>IF(OR(B440="",D440="",H440="",I440=""),"",IF(L440="","Ouvert",IF(X440&gt;0,"Gagné",IF(X440&lt;0,"Perdu","Neutre"))))</f>
        <v/>
      </c>
      <c r="AD440" s="115">
        <f>IF(X440="","",IF(C440="",B440,C440))</f>
        <v/>
      </c>
      <c r="AE440" s="109">
        <f>IF(B440="","",WEEKDAY(B440,2))</f>
        <v/>
      </c>
      <c r="AF440" s="112">
        <f>IF(X440="","",'Paramètres'!$C$9+SUM($X$6:X440))</f>
        <v/>
      </c>
      <c r="AG440" s="112">
        <f>IF(AF440="","",MAX('Paramètres'!$C$9,MAX($AF$6:AF440)))</f>
        <v/>
      </c>
      <c r="AH440" s="116">
        <f>IF(AF440="","",AF440/AG440-1)</f>
        <v/>
      </c>
      <c r="AI440" s="109">
        <f>IF(X440="","",IF(X440&gt;0,IF(N(AI439)&gt;0,N(AI439)+1,1),IF(X440&lt;0,IF(N(AI439)&lt;0,N(AI439)-1,-1),0)))</f>
        <v/>
      </c>
      <c r="AJ440" s="116">
        <f>IF(Z440="","",IFERROR(Z440/('Paramètres'!$C$9+SUM($X$5:X439)),""))</f>
        <v/>
      </c>
      <c r="AK440" s="109">
        <f>IF(AC440="Ouvert",COUNTIF($AC$6:AC440,"Ouvert"),"")</f>
        <v/>
      </c>
    </row>
    <row r="441" ht="19" customHeight="1">
      <c r="A441" s="104">
        <f>IF(B441="","",ROW()-5)</f>
        <v/>
      </c>
      <c r="B441" s="61" t="n"/>
      <c r="C441" s="61" t="n"/>
      <c r="D441" s="105" t="n"/>
      <c r="E441" s="49" t="n"/>
      <c r="F441" s="105" t="n"/>
      <c r="G441" s="49" t="n"/>
      <c r="H441" s="106" t="n"/>
      <c r="I441" s="107" t="n"/>
      <c r="J441" s="107" t="n"/>
      <c r="K441" s="107" t="n"/>
      <c r="L441" s="107" t="n"/>
      <c r="M441" s="106" t="n"/>
      <c r="N441" s="62" t="n"/>
      <c r="O441" s="49" t="n"/>
      <c r="P441" s="49" t="n"/>
      <c r="Q441" s="105" t="n"/>
      <c r="R441" s="105" t="n"/>
      <c r="S441" s="105" t="n"/>
      <c r="T441" s="105" t="n"/>
      <c r="U441" s="108">
        <f>IF(OR(H441="",I441="",I441=0),"",H441/I441)</f>
        <v/>
      </c>
      <c r="V441" s="109">
        <f>IF(OR(B441="",C441="",L441=""),"",MAX(0,C441-B441))</f>
        <v/>
      </c>
      <c r="W441" s="110">
        <f>IF(OR(L441="",U441=""),"",IF(E441="Short",(I441-L441)*U441,(L441-I441)*U441))</f>
        <v/>
      </c>
      <c r="X441" s="110">
        <f>IF(W441="","",W441-IF(M441="",0,M441))</f>
        <v/>
      </c>
      <c r="Y441" s="111">
        <f>IF(OR(X441="",H441="",H441=0),"",X441/H441)</f>
        <v/>
      </c>
      <c r="Z441" s="112">
        <f>IF(OR(I441="",J441="",U441=""),"",ABS(I441-J441)*U441)</f>
        <v/>
      </c>
      <c r="AA441" s="113">
        <f>IF(OR(X441="",Z441="",Z441=0),"",X441/Z441)</f>
        <v/>
      </c>
      <c r="AB441" s="114">
        <f>IF(OR(I441="",J441="",K441="",I441=J441),"",ABS(K441-I441)/ABS(I441-J441))</f>
        <v/>
      </c>
      <c r="AC441" s="51">
        <f>IF(OR(B441="",D441="",H441="",I441=""),"",IF(L441="","Ouvert",IF(X441&gt;0,"Gagné",IF(X441&lt;0,"Perdu","Neutre"))))</f>
        <v/>
      </c>
      <c r="AD441" s="115">
        <f>IF(X441="","",IF(C441="",B441,C441))</f>
        <v/>
      </c>
      <c r="AE441" s="109">
        <f>IF(B441="","",WEEKDAY(B441,2))</f>
        <v/>
      </c>
      <c r="AF441" s="112">
        <f>IF(X441="","",'Paramètres'!$C$9+SUM($X$6:X441))</f>
        <v/>
      </c>
      <c r="AG441" s="112">
        <f>IF(AF441="","",MAX('Paramètres'!$C$9,MAX($AF$6:AF441)))</f>
        <v/>
      </c>
      <c r="AH441" s="116">
        <f>IF(AF441="","",AF441/AG441-1)</f>
        <v/>
      </c>
      <c r="AI441" s="109">
        <f>IF(X441="","",IF(X441&gt;0,IF(N(AI440)&gt;0,N(AI440)+1,1),IF(X441&lt;0,IF(N(AI440)&lt;0,N(AI440)-1,-1),0)))</f>
        <v/>
      </c>
      <c r="AJ441" s="116">
        <f>IF(Z441="","",IFERROR(Z441/('Paramètres'!$C$9+SUM($X$5:X440)),""))</f>
        <v/>
      </c>
      <c r="AK441" s="109">
        <f>IF(AC441="Ouvert",COUNTIF($AC$6:AC441,"Ouvert"),"")</f>
        <v/>
      </c>
    </row>
    <row r="442" ht="19" customHeight="1">
      <c r="A442" s="104">
        <f>IF(B442="","",ROW()-5)</f>
        <v/>
      </c>
      <c r="B442" s="61" t="n"/>
      <c r="C442" s="61" t="n"/>
      <c r="D442" s="105" t="n"/>
      <c r="E442" s="49" t="n"/>
      <c r="F442" s="105" t="n"/>
      <c r="G442" s="49" t="n"/>
      <c r="H442" s="106" t="n"/>
      <c r="I442" s="107" t="n"/>
      <c r="J442" s="107" t="n"/>
      <c r="K442" s="107" t="n"/>
      <c r="L442" s="107" t="n"/>
      <c r="M442" s="106" t="n"/>
      <c r="N442" s="62" t="n"/>
      <c r="O442" s="49" t="n"/>
      <c r="P442" s="49" t="n"/>
      <c r="Q442" s="105" t="n"/>
      <c r="R442" s="105" t="n"/>
      <c r="S442" s="105" t="n"/>
      <c r="T442" s="105" t="n"/>
      <c r="U442" s="108">
        <f>IF(OR(H442="",I442="",I442=0),"",H442/I442)</f>
        <v/>
      </c>
      <c r="V442" s="109">
        <f>IF(OR(B442="",C442="",L442=""),"",MAX(0,C442-B442))</f>
        <v/>
      </c>
      <c r="W442" s="110">
        <f>IF(OR(L442="",U442=""),"",IF(E442="Short",(I442-L442)*U442,(L442-I442)*U442))</f>
        <v/>
      </c>
      <c r="X442" s="110">
        <f>IF(W442="","",W442-IF(M442="",0,M442))</f>
        <v/>
      </c>
      <c r="Y442" s="111">
        <f>IF(OR(X442="",H442="",H442=0),"",X442/H442)</f>
        <v/>
      </c>
      <c r="Z442" s="112">
        <f>IF(OR(I442="",J442="",U442=""),"",ABS(I442-J442)*U442)</f>
        <v/>
      </c>
      <c r="AA442" s="113">
        <f>IF(OR(X442="",Z442="",Z442=0),"",X442/Z442)</f>
        <v/>
      </c>
      <c r="AB442" s="114">
        <f>IF(OR(I442="",J442="",K442="",I442=J442),"",ABS(K442-I442)/ABS(I442-J442))</f>
        <v/>
      </c>
      <c r="AC442" s="51">
        <f>IF(OR(B442="",D442="",H442="",I442=""),"",IF(L442="","Ouvert",IF(X442&gt;0,"Gagné",IF(X442&lt;0,"Perdu","Neutre"))))</f>
        <v/>
      </c>
      <c r="AD442" s="115">
        <f>IF(X442="","",IF(C442="",B442,C442))</f>
        <v/>
      </c>
      <c r="AE442" s="109">
        <f>IF(B442="","",WEEKDAY(B442,2))</f>
        <v/>
      </c>
      <c r="AF442" s="112">
        <f>IF(X442="","",'Paramètres'!$C$9+SUM($X$6:X442))</f>
        <v/>
      </c>
      <c r="AG442" s="112">
        <f>IF(AF442="","",MAX('Paramètres'!$C$9,MAX($AF$6:AF442)))</f>
        <v/>
      </c>
      <c r="AH442" s="116">
        <f>IF(AF442="","",AF442/AG442-1)</f>
        <v/>
      </c>
      <c r="AI442" s="109">
        <f>IF(X442="","",IF(X442&gt;0,IF(N(AI441)&gt;0,N(AI441)+1,1),IF(X442&lt;0,IF(N(AI441)&lt;0,N(AI441)-1,-1),0)))</f>
        <v/>
      </c>
      <c r="AJ442" s="116">
        <f>IF(Z442="","",IFERROR(Z442/('Paramètres'!$C$9+SUM($X$5:X441)),""))</f>
        <v/>
      </c>
      <c r="AK442" s="109">
        <f>IF(AC442="Ouvert",COUNTIF($AC$6:AC442,"Ouvert"),"")</f>
        <v/>
      </c>
    </row>
    <row r="443" ht="19" customHeight="1">
      <c r="A443" s="104">
        <f>IF(B443="","",ROW()-5)</f>
        <v/>
      </c>
      <c r="B443" s="61" t="n"/>
      <c r="C443" s="61" t="n"/>
      <c r="D443" s="105" t="n"/>
      <c r="E443" s="49" t="n"/>
      <c r="F443" s="105" t="n"/>
      <c r="G443" s="49" t="n"/>
      <c r="H443" s="106" t="n"/>
      <c r="I443" s="107" t="n"/>
      <c r="J443" s="107" t="n"/>
      <c r="K443" s="107" t="n"/>
      <c r="L443" s="107" t="n"/>
      <c r="M443" s="106" t="n"/>
      <c r="N443" s="62" t="n"/>
      <c r="O443" s="49" t="n"/>
      <c r="P443" s="49" t="n"/>
      <c r="Q443" s="105" t="n"/>
      <c r="R443" s="105" t="n"/>
      <c r="S443" s="105" t="n"/>
      <c r="T443" s="105" t="n"/>
      <c r="U443" s="108">
        <f>IF(OR(H443="",I443="",I443=0),"",H443/I443)</f>
        <v/>
      </c>
      <c r="V443" s="109">
        <f>IF(OR(B443="",C443="",L443=""),"",MAX(0,C443-B443))</f>
        <v/>
      </c>
      <c r="W443" s="110">
        <f>IF(OR(L443="",U443=""),"",IF(E443="Short",(I443-L443)*U443,(L443-I443)*U443))</f>
        <v/>
      </c>
      <c r="X443" s="110">
        <f>IF(W443="","",W443-IF(M443="",0,M443))</f>
        <v/>
      </c>
      <c r="Y443" s="111">
        <f>IF(OR(X443="",H443="",H443=0),"",X443/H443)</f>
        <v/>
      </c>
      <c r="Z443" s="112">
        <f>IF(OR(I443="",J443="",U443=""),"",ABS(I443-J443)*U443)</f>
        <v/>
      </c>
      <c r="AA443" s="113">
        <f>IF(OR(X443="",Z443="",Z443=0),"",X443/Z443)</f>
        <v/>
      </c>
      <c r="AB443" s="114">
        <f>IF(OR(I443="",J443="",K443="",I443=J443),"",ABS(K443-I443)/ABS(I443-J443))</f>
        <v/>
      </c>
      <c r="AC443" s="51">
        <f>IF(OR(B443="",D443="",H443="",I443=""),"",IF(L443="","Ouvert",IF(X443&gt;0,"Gagné",IF(X443&lt;0,"Perdu","Neutre"))))</f>
        <v/>
      </c>
      <c r="AD443" s="115">
        <f>IF(X443="","",IF(C443="",B443,C443))</f>
        <v/>
      </c>
      <c r="AE443" s="109">
        <f>IF(B443="","",WEEKDAY(B443,2))</f>
        <v/>
      </c>
      <c r="AF443" s="112">
        <f>IF(X443="","",'Paramètres'!$C$9+SUM($X$6:X443))</f>
        <v/>
      </c>
      <c r="AG443" s="112">
        <f>IF(AF443="","",MAX('Paramètres'!$C$9,MAX($AF$6:AF443)))</f>
        <v/>
      </c>
      <c r="AH443" s="116">
        <f>IF(AF443="","",AF443/AG443-1)</f>
        <v/>
      </c>
      <c r="AI443" s="109">
        <f>IF(X443="","",IF(X443&gt;0,IF(N(AI442)&gt;0,N(AI442)+1,1),IF(X443&lt;0,IF(N(AI442)&lt;0,N(AI442)-1,-1),0)))</f>
        <v/>
      </c>
      <c r="AJ443" s="116">
        <f>IF(Z443="","",IFERROR(Z443/('Paramètres'!$C$9+SUM($X$5:X442)),""))</f>
        <v/>
      </c>
      <c r="AK443" s="109">
        <f>IF(AC443="Ouvert",COUNTIF($AC$6:AC443,"Ouvert"),"")</f>
        <v/>
      </c>
    </row>
    <row r="444" ht="19" customHeight="1">
      <c r="A444" s="104">
        <f>IF(B444="","",ROW()-5)</f>
        <v/>
      </c>
      <c r="B444" s="61" t="n"/>
      <c r="C444" s="61" t="n"/>
      <c r="D444" s="105" t="n"/>
      <c r="E444" s="49" t="n"/>
      <c r="F444" s="105" t="n"/>
      <c r="G444" s="49" t="n"/>
      <c r="H444" s="106" t="n"/>
      <c r="I444" s="107" t="n"/>
      <c r="J444" s="107" t="n"/>
      <c r="K444" s="107" t="n"/>
      <c r="L444" s="107" t="n"/>
      <c r="M444" s="106" t="n"/>
      <c r="N444" s="62" t="n"/>
      <c r="O444" s="49" t="n"/>
      <c r="P444" s="49" t="n"/>
      <c r="Q444" s="105" t="n"/>
      <c r="R444" s="105" t="n"/>
      <c r="S444" s="105" t="n"/>
      <c r="T444" s="105" t="n"/>
      <c r="U444" s="108">
        <f>IF(OR(H444="",I444="",I444=0),"",H444/I444)</f>
        <v/>
      </c>
      <c r="V444" s="109">
        <f>IF(OR(B444="",C444="",L444=""),"",MAX(0,C444-B444))</f>
        <v/>
      </c>
      <c r="W444" s="110">
        <f>IF(OR(L444="",U444=""),"",IF(E444="Short",(I444-L444)*U444,(L444-I444)*U444))</f>
        <v/>
      </c>
      <c r="X444" s="110">
        <f>IF(W444="","",W444-IF(M444="",0,M444))</f>
        <v/>
      </c>
      <c r="Y444" s="111">
        <f>IF(OR(X444="",H444="",H444=0),"",X444/H444)</f>
        <v/>
      </c>
      <c r="Z444" s="112">
        <f>IF(OR(I444="",J444="",U444=""),"",ABS(I444-J444)*U444)</f>
        <v/>
      </c>
      <c r="AA444" s="113">
        <f>IF(OR(X444="",Z444="",Z444=0),"",X444/Z444)</f>
        <v/>
      </c>
      <c r="AB444" s="114">
        <f>IF(OR(I444="",J444="",K444="",I444=J444),"",ABS(K444-I444)/ABS(I444-J444))</f>
        <v/>
      </c>
      <c r="AC444" s="51">
        <f>IF(OR(B444="",D444="",H444="",I444=""),"",IF(L444="","Ouvert",IF(X444&gt;0,"Gagné",IF(X444&lt;0,"Perdu","Neutre"))))</f>
        <v/>
      </c>
      <c r="AD444" s="115">
        <f>IF(X444="","",IF(C444="",B444,C444))</f>
        <v/>
      </c>
      <c r="AE444" s="109">
        <f>IF(B444="","",WEEKDAY(B444,2))</f>
        <v/>
      </c>
      <c r="AF444" s="112">
        <f>IF(X444="","",'Paramètres'!$C$9+SUM($X$6:X444))</f>
        <v/>
      </c>
      <c r="AG444" s="112">
        <f>IF(AF444="","",MAX('Paramètres'!$C$9,MAX($AF$6:AF444)))</f>
        <v/>
      </c>
      <c r="AH444" s="116">
        <f>IF(AF444="","",AF444/AG444-1)</f>
        <v/>
      </c>
      <c r="AI444" s="109">
        <f>IF(X444="","",IF(X444&gt;0,IF(N(AI443)&gt;0,N(AI443)+1,1),IF(X444&lt;0,IF(N(AI443)&lt;0,N(AI443)-1,-1),0)))</f>
        <v/>
      </c>
      <c r="AJ444" s="116">
        <f>IF(Z444="","",IFERROR(Z444/('Paramètres'!$C$9+SUM($X$5:X443)),""))</f>
        <v/>
      </c>
      <c r="AK444" s="109">
        <f>IF(AC444="Ouvert",COUNTIF($AC$6:AC444,"Ouvert"),"")</f>
        <v/>
      </c>
    </row>
    <row r="445" ht="19" customHeight="1">
      <c r="A445" s="104">
        <f>IF(B445="","",ROW()-5)</f>
        <v/>
      </c>
      <c r="B445" s="61" t="n"/>
      <c r="C445" s="61" t="n"/>
      <c r="D445" s="105" t="n"/>
      <c r="E445" s="49" t="n"/>
      <c r="F445" s="105" t="n"/>
      <c r="G445" s="49" t="n"/>
      <c r="H445" s="106" t="n"/>
      <c r="I445" s="107" t="n"/>
      <c r="J445" s="107" t="n"/>
      <c r="K445" s="107" t="n"/>
      <c r="L445" s="107" t="n"/>
      <c r="M445" s="106" t="n"/>
      <c r="N445" s="62" t="n"/>
      <c r="O445" s="49" t="n"/>
      <c r="P445" s="49" t="n"/>
      <c r="Q445" s="105" t="n"/>
      <c r="R445" s="105" t="n"/>
      <c r="S445" s="105" t="n"/>
      <c r="T445" s="105" t="n"/>
      <c r="U445" s="108">
        <f>IF(OR(H445="",I445="",I445=0),"",H445/I445)</f>
        <v/>
      </c>
      <c r="V445" s="109">
        <f>IF(OR(B445="",C445="",L445=""),"",MAX(0,C445-B445))</f>
        <v/>
      </c>
      <c r="W445" s="110">
        <f>IF(OR(L445="",U445=""),"",IF(E445="Short",(I445-L445)*U445,(L445-I445)*U445))</f>
        <v/>
      </c>
      <c r="X445" s="110">
        <f>IF(W445="","",W445-IF(M445="",0,M445))</f>
        <v/>
      </c>
      <c r="Y445" s="111">
        <f>IF(OR(X445="",H445="",H445=0),"",X445/H445)</f>
        <v/>
      </c>
      <c r="Z445" s="112">
        <f>IF(OR(I445="",J445="",U445=""),"",ABS(I445-J445)*U445)</f>
        <v/>
      </c>
      <c r="AA445" s="113">
        <f>IF(OR(X445="",Z445="",Z445=0),"",X445/Z445)</f>
        <v/>
      </c>
      <c r="AB445" s="114">
        <f>IF(OR(I445="",J445="",K445="",I445=J445),"",ABS(K445-I445)/ABS(I445-J445))</f>
        <v/>
      </c>
      <c r="AC445" s="51">
        <f>IF(OR(B445="",D445="",H445="",I445=""),"",IF(L445="","Ouvert",IF(X445&gt;0,"Gagné",IF(X445&lt;0,"Perdu","Neutre"))))</f>
        <v/>
      </c>
      <c r="AD445" s="115">
        <f>IF(X445="","",IF(C445="",B445,C445))</f>
        <v/>
      </c>
      <c r="AE445" s="109">
        <f>IF(B445="","",WEEKDAY(B445,2))</f>
        <v/>
      </c>
      <c r="AF445" s="112">
        <f>IF(X445="","",'Paramètres'!$C$9+SUM($X$6:X445))</f>
        <v/>
      </c>
      <c r="AG445" s="112">
        <f>IF(AF445="","",MAX('Paramètres'!$C$9,MAX($AF$6:AF445)))</f>
        <v/>
      </c>
      <c r="AH445" s="116">
        <f>IF(AF445="","",AF445/AG445-1)</f>
        <v/>
      </c>
      <c r="AI445" s="109">
        <f>IF(X445="","",IF(X445&gt;0,IF(N(AI444)&gt;0,N(AI444)+1,1),IF(X445&lt;0,IF(N(AI444)&lt;0,N(AI444)-1,-1),0)))</f>
        <v/>
      </c>
      <c r="AJ445" s="116">
        <f>IF(Z445="","",IFERROR(Z445/('Paramètres'!$C$9+SUM($X$5:X444)),""))</f>
        <v/>
      </c>
      <c r="AK445" s="109">
        <f>IF(AC445="Ouvert",COUNTIF($AC$6:AC445,"Ouvert"),"")</f>
        <v/>
      </c>
    </row>
    <row r="446" ht="19" customHeight="1">
      <c r="A446" s="104">
        <f>IF(B446="","",ROW()-5)</f>
        <v/>
      </c>
      <c r="B446" s="61" t="n"/>
      <c r="C446" s="61" t="n"/>
      <c r="D446" s="105" t="n"/>
      <c r="E446" s="49" t="n"/>
      <c r="F446" s="105" t="n"/>
      <c r="G446" s="49" t="n"/>
      <c r="H446" s="106" t="n"/>
      <c r="I446" s="107" t="n"/>
      <c r="J446" s="107" t="n"/>
      <c r="K446" s="107" t="n"/>
      <c r="L446" s="107" t="n"/>
      <c r="M446" s="106" t="n"/>
      <c r="N446" s="62" t="n"/>
      <c r="O446" s="49" t="n"/>
      <c r="P446" s="49" t="n"/>
      <c r="Q446" s="105" t="n"/>
      <c r="R446" s="105" t="n"/>
      <c r="S446" s="105" t="n"/>
      <c r="T446" s="105" t="n"/>
      <c r="U446" s="108">
        <f>IF(OR(H446="",I446="",I446=0),"",H446/I446)</f>
        <v/>
      </c>
      <c r="V446" s="109">
        <f>IF(OR(B446="",C446="",L446=""),"",MAX(0,C446-B446))</f>
        <v/>
      </c>
      <c r="W446" s="110">
        <f>IF(OR(L446="",U446=""),"",IF(E446="Short",(I446-L446)*U446,(L446-I446)*U446))</f>
        <v/>
      </c>
      <c r="X446" s="110">
        <f>IF(W446="","",W446-IF(M446="",0,M446))</f>
        <v/>
      </c>
      <c r="Y446" s="111">
        <f>IF(OR(X446="",H446="",H446=0),"",X446/H446)</f>
        <v/>
      </c>
      <c r="Z446" s="112">
        <f>IF(OR(I446="",J446="",U446=""),"",ABS(I446-J446)*U446)</f>
        <v/>
      </c>
      <c r="AA446" s="113">
        <f>IF(OR(X446="",Z446="",Z446=0),"",X446/Z446)</f>
        <v/>
      </c>
      <c r="AB446" s="114">
        <f>IF(OR(I446="",J446="",K446="",I446=J446),"",ABS(K446-I446)/ABS(I446-J446))</f>
        <v/>
      </c>
      <c r="AC446" s="51">
        <f>IF(OR(B446="",D446="",H446="",I446=""),"",IF(L446="","Ouvert",IF(X446&gt;0,"Gagné",IF(X446&lt;0,"Perdu","Neutre"))))</f>
        <v/>
      </c>
      <c r="AD446" s="115">
        <f>IF(X446="","",IF(C446="",B446,C446))</f>
        <v/>
      </c>
      <c r="AE446" s="109">
        <f>IF(B446="","",WEEKDAY(B446,2))</f>
        <v/>
      </c>
      <c r="AF446" s="112">
        <f>IF(X446="","",'Paramètres'!$C$9+SUM($X$6:X446))</f>
        <v/>
      </c>
      <c r="AG446" s="112">
        <f>IF(AF446="","",MAX('Paramètres'!$C$9,MAX($AF$6:AF446)))</f>
        <v/>
      </c>
      <c r="AH446" s="116">
        <f>IF(AF446="","",AF446/AG446-1)</f>
        <v/>
      </c>
      <c r="AI446" s="109">
        <f>IF(X446="","",IF(X446&gt;0,IF(N(AI445)&gt;0,N(AI445)+1,1),IF(X446&lt;0,IF(N(AI445)&lt;0,N(AI445)-1,-1),0)))</f>
        <v/>
      </c>
      <c r="AJ446" s="116">
        <f>IF(Z446="","",IFERROR(Z446/('Paramètres'!$C$9+SUM($X$5:X445)),""))</f>
        <v/>
      </c>
      <c r="AK446" s="109">
        <f>IF(AC446="Ouvert",COUNTIF($AC$6:AC446,"Ouvert"),"")</f>
        <v/>
      </c>
    </row>
    <row r="447" ht="19" customHeight="1">
      <c r="A447" s="104">
        <f>IF(B447="","",ROW()-5)</f>
        <v/>
      </c>
      <c r="B447" s="61" t="n"/>
      <c r="C447" s="61" t="n"/>
      <c r="D447" s="105" t="n"/>
      <c r="E447" s="49" t="n"/>
      <c r="F447" s="105" t="n"/>
      <c r="G447" s="49" t="n"/>
      <c r="H447" s="106" t="n"/>
      <c r="I447" s="107" t="n"/>
      <c r="J447" s="107" t="n"/>
      <c r="K447" s="107" t="n"/>
      <c r="L447" s="107" t="n"/>
      <c r="M447" s="106" t="n"/>
      <c r="N447" s="62" t="n"/>
      <c r="O447" s="49" t="n"/>
      <c r="P447" s="49" t="n"/>
      <c r="Q447" s="105" t="n"/>
      <c r="R447" s="105" t="n"/>
      <c r="S447" s="105" t="n"/>
      <c r="T447" s="105" t="n"/>
      <c r="U447" s="108">
        <f>IF(OR(H447="",I447="",I447=0),"",H447/I447)</f>
        <v/>
      </c>
      <c r="V447" s="109">
        <f>IF(OR(B447="",C447="",L447=""),"",MAX(0,C447-B447))</f>
        <v/>
      </c>
      <c r="W447" s="110">
        <f>IF(OR(L447="",U447=""),"",IF(E447="Short",(I447-L447)*U447,(L447-I447)*U447))</f>
        <v/>
      </c>
      <c r="X447" s="110">
        <f>IF(W447="","",W447-IF(M447="",0,M447))</f>
        <v/>
      </c>
      <c r="Y447" s="111">
        <f>IF(OR(X447="",H447="",H447=0),"",X447/H447)</f>
        <v/>
      </c>
      <c r="Z447" s="112">
        <f>IF(OR(I447="",J447="",U447=""),"",ABS(I447-J447)*U447)</f>
        <v/>
      </c>
      <c r="AA447" s="113">
        <f>IF(OR(X447="",Z447="",Z447=0),"",X447/Z447)</f>
        <v/>
      </c>
      <c r="AB447" s="114">
        <f>IF(OR(I447="",J447="",K447="",I447=J447),"",ABS(K447-I447)/ABS(I447-J447))</f>
        <v/>
      </c>
      <c r="AC447" s="51">
        <f>IF(OR(B447="",D447="",H447="",I447=""),"",IF(L447="","Ouvert",IF(X447&gt;0,"Gagné",IF(X447&lt;0,"Perdu","Neutre"))))</f>
        <v/>
      </c>
      <c r="AD447" s="115">
        <f>IF(X447="","",IF(C447="",B447,C447))</f>
        <v/>
      </c>
      <c r="AE447" s="109">
        <f>IF(B447="","",WEEKDAY(B447,2))</f>
        <v/>
      </c>
      <c r="AF447" s="112">
        <f>IF(X447="","",'Paramètres'!$C$9+SUM($X$6:X447))</f>
        <v/>
      </c>
      <c r="AG447" s="112">
        <f>IF(AF447="","",MAX('Paramètres'!$C$9,MAX($AF$6:AF447)))</f>
        <v/>
      </c>
      <c r="AH447" s="116">
        <f>IF(AF447="","",AF447/AG447-1)</f>
        <v/>
      </c>
      <c r="AI447" s="109">
        <f>IF(X447="","",IF(X447&gt;0,IF(N(AI446)&gt;0,N(AI446)+1,1),IF(X447&lt;0,IF(N(AI446)&lt;0,N(AI446)-1,-1),0)))</f>
        <v/>
      </c>
      <c r="AJ447" s="116">
        <f>IF(Z447="","",IFERROR(Z447/('Paramètres'!$C$9+SUM($X$5:X446)),""))</f>
        <v/>
      </c>
      <c r="AK447" s="109">
        <f>IF(AC447="Ouvert",COUNTIF($AC$6:AC447,"Ouvert"),"")</f>
        <v/>
      </c>
    </row>
    <row r="448" ht="19" customHeight="1">
      <c r="A448" s="104">
        <f>IF(B448="","",ROW()-5)</f>
        <v/>
      </c>
      <c r="B448" s="61" t="n"/>
      <c r="C448" s="61" t="n"/>
      <c r="D448" s="105" t="n"/>
      <c r="E448" s="49" t="n"/>
      <c r="F448" s="105" t="n"/>
      <c r="G448" s="49" t="n"/>
      <c r="H448" s="106" t="n"/>
      <c r="I448" s="107" t="n"/>
      <c r="J448" s="107" t="n"/>
      <c r="K448" s="107" t="n"/>
      <c r="L448" s="107" t="n"/>
      <c r="M448" s="106" t="n"/>
      <c r="N448" s="62" t="n"/>
      <c r="O448" s="49" t="n"/>
      <c r="P448" s="49" t="n"/>
      <c r="Q448" s="105" t="n"/>
      <c r="R448" s="105" t="n"/>
      <c r="S448" s="105" t="n"/>
      <c r="T448" s="105" t="n"/>
      <c r="U448" s="108">
        <f>IF(OR(H448="",I448="",I448=0),"",H448/I448)</f>
        <v/>
      </c>
      <c r="V448" s="109">
        <f>IF(OR(B448="",C448="",L448=""),"",MAX(0,C448-B448))</f>
        <v/>
      </c>
      <c r="W448" s="110">
        <f>IF(OR(L448="",U448=""),"",IF(E448="Short",(I448-L448)*U448,(L448-I448)*U448))</f>
        <v/>
      </c>
      <c r="X448" s="110">
        <f>IF(W448="","",W448-IF(M448="",0,M448))</f>
        <v/>
      </c>
      <c r="Y448" s="111">
        <f>IF(OR(X448="",H448="",H448=0),"",X448/H448)</f>
        <v/>
      </c>
      <c r="Z448" s="112">
        <f>IF(OR(I448="",J448="",U448=""),"",ABS(I448-J448)*U448)</f>
        <v/>
      </c>
      <c r="AA448" s="113">
        <f>IF(OR(X448="",Z448="",Z448=0),"",X448/Z448)</f>
        <v/>
      </c>
      <c r="AB448" s="114">
        <f>IF(OR(I448="",J448="",K448="",I448=J448),"",ABS(K448-I448)/ABS(I448-J448))</f>
        <v/>
      </c>
      <c r="AC448" s="51">
        <f>IF(OR(B448="",D448="",H448="",I448=""),"",IF(L448="","Ouvert",IF(X448&gt;0,"Gagné",IF(X448&lt;0,"Perdu","Neutre"))))</f>
        <v/>
      </c>
      <c r="AD448" s="115">
        <f>IF(X448="","",IF(C448="",B448,C448))</f>
        <v/>
      </c>
      <c r="AE448" s="109">
        <f>IF(B448="","",WEEKDAY(B448,2))</f>
        <v/>
      </c>
      <c r="AF448" s="112">
        <f>IF(X448="","",'Paramètres'!$C$9+SUM($X$6:X448))</f>
        <v/>
      </c>
      <c r="AG448" s="112">
        <f>IF(AF448="","",MAX('Paramètres'!$C$9,MAX($AF$6:AF448)))</f>
        <v/>
      </c>
      <c r="AH448" s="116">
        <f>IF(AF448="","",AF448/AG448-1)</f>
        <v/>
      </c>
      <c r="AI448" s="109">
        <f>IF(X448="","",IF(X448&gt;0,IF(N(AI447)&gt;0,N(AI447)+1,1),IF(X448&lt;0,IF(N(AI447)&lt;0,N(AI447)-1,-1),0)))</f>
        <v/>
      </c>
      <c r="AJ448" s="116">
        <f>IF(Z448="","",IFERROR(Z448/('Paramètres'!$C$9+SUM($X$5:X447)),""))</f>
        <v/>
      </c>
      <c r="AK448" s="109">
        <f>IF(AC448="Ouvert",COUNTIF($AC$6:AC448,"Ouvert"),"")</f>
        <v/>
      </c>
    </row>
    <row r="449" ht="19" customHeight="1">
      <c r="A449" s="104">
        <f>IF(B449="","",ROW()-5)</f>
        <v/>
      </c>
      <c r="B449" s="61" t="n"/>
      <c r="C449" s="61" t="n"/>
      <c r="D449" s="105" t="n"/>
      <c r="E449" s="49" t="n"/>
      <c r="F449" s="105" t="n"/>
      <c r="G449" s="49" t="n"/>
      <c r="H449" s="106" t="n"/>
      <c r="I449" s="107" t="n"/>
      <c r="J449" s="107" t="n"/>
      <c r="K449" s="107" t="n"/>
      <c r="L449" s="107" t="n"/>
      <c r="M449" s="106" t="n"/>
      <c r="N449" s="62" t="n"/>
      <c r="O449" s="49" t="n"/>
      <c r="P449" s="49" t="n"/>
      <c r="Q449" s="105" t="n"/>
      <c r="R449" s="105" t="n"/>
      <c r="S449" s="105" t="n"/>
      <c r="T449" s="105" t="n"/>
      <c r="U449" s="108">
        <f>IF(OR(H449="",I449="",I449=0),"",H449/I449)</f>
        <v/>
      </c>
      <c r="V449" s="109">
        <f>IF(OR(B449="",C449="",L449=""),"",MAX(0,C449-B449))</f>
        <v/>
      </c>
      <c r="W449" s="110">
        <f>IF(OR(L449="",U449=""),"",IF(E449="Short",(I449-L449)*U449,(L449-I449)*U449))</f>
        <v/>
      </c>
      <c r="X449" s="110">
        <f>IF(W449="","",W449-IF(M449="",0,M449))</f>
        <v/>
      </c>
      <c r="Y449" s="111">
        <f>IF(OR(X449="",H449="",H449=0),"",X449/H449)</f>
        <v/>
      </c>
      <c r="Z449" s="112">
        <f>IF(OR(I449="",J449="",U449=""),"",ABS(I449-J449)*U449)</f>
        <v/>
      </c>
      <c r="AA449" s="113">
        <f>IF(OR(X449="",Z449="",Z449=0),"",X449/Z449)</f>
        <v/>
      </c>
      <c r="AB449" s="114">
        <f>IF(OR(I449="",J449="",K449="",I449=J449),"",ABS(K449-I449)/ABS(I449-J449))</f>
        <v/>
      </c>
      <c r="AC449" s="51">
        <f>IF(OR(B449="",D449="",H449="",I449=""),"",IF(L449="","Ouvert",IF(X449&gt;0,"Gagné",IF(X449&lt;0,"Perdu","Neutre"))))</f>
        <v/>
      </c>
      <c r="AD449" s="115">
        <f>IF(X449="","",IF(C449="",B449,C449))</f>
        <v/>
      </c>
      <c r="AE449" s="109">
        <f>IF(B449="","",WEEKDAY(B449,2))</f>
        <v/>
      </c>
      <c r="AF449" s="112">
        <f>IF(X449="","",'Paramètres'!$C$9+SUM($X$6:X449))</f>
        <v/>
      </c>
      <c r="AG449" s="112">
        <f>IF(AF449="","",MAX('Paramètres'!$C$9,MAX($AF$6:AF449)))</f>
        <v/>
      </c>
      <c r="AH449" s="116">
        <f>IF(AF449="","",AF449/AG449-1)</f>
        <v/>
      </c>
      <c r="AI449" s="109">
        <f>IF(X449="","",IF(X449&gt;0,IF(N(AI448)&gt;0,N(AI448)+1,1),IF(X449&lt;0,IF(N(AI448)&lt;0,N(AI448)-1,-1),0)))</f>
        <v/>
      </c>
      <c r="AJ449" s="116">
        <f>IF(Z449="","",IFERROR(Z449/('Paramètres'!$C$9+SUM($X$5:X448)),""))</f>
        <v/>
      </c>
      <c r="AK449" s="109">
        <f>IF(AC449="Ouvert",COUNTIF($AC$6:AC449,"Ouvert"),"")</f>
        <v/>
      </c>
    </row>
    <row r="450" ht="19" customHeight="1">
      <c r="A450" s="104">
        <f>IF(B450="","",ROW()-5)</f>
        <v/>
      </c>
      <c r="B450" s="61" t="n"/>
      <c r="C450" s="61" t="n"/>
      <c r="D450" s="105" t="n"/>
      <c r="E450" s="49" t="n"/>
      <c r="F450" s="105" t="n"/>
      <c r="G450" s="49" t="n"/>
      <c r="H450" s="106" t="n"/>
      <c r="I450" s="107" t="n"/>
      <c r="J450" s="107" t="n"/>
      <c r="K450" s="107" t="n"/>
      <c r="L450" s="107" t="n"/>
      <c r="M450" s="106" t="n"/>
      <c r="N450" s="62" t="n"/>
      <c r="O450" s="49" t="n"/>
      <c r="P450" s="49" t="n"/>
      <c r="Q450" s="105" t="n"/>
      <c r="R450" s="105" t="n"/>
      <c r="S450" s="105" t="n"/>
      <c r="T450" s="105" t="n"/>
      <c r="U450" s="108">
        <f>IF(OR(H450="",I450="",I450=0),"",H450/I450)</f>
        <v/>
      </c>
      <c r="V450" s="109">
        <f>IF(OR(B450="",C450="",L450=""),"",MAX(0,C450-B450))</f>
        <v/>
      </c>
      <c r="W450" s="110">
        <f>IF(OR(L450="",U450=""),"",IF(E450="Short",(I450-L450)*U450,(L450-I450)*U450))</f>
        <v/>
      </c>
      <c r="X450" s="110">
        <f>IF(W450="","",W450-IF(M450="",0,M450))</f>
        <v/>
      </c>
      <c r="Y450" s="111">
        <f>IF(OR(X450="",H450="",H450=0),"",X450/H450)</f>
        <v/>
      </c>
      <c r="Z450" s="112">
        <f>IF(OR(I450="",J450="",U450=""),"",ABS(I450-J450)*U450)</f>
        <v/>
      </c>
      <c r="AA450" s="113">
        <f>IF(OR(X450="",Z450="",Z450=0),"",X450/Z450)</f>
        <v/>
      </c>
      <c r="AB450" s="114">
        <f>IF(OR(I450="",J450="",K450="",I450=J450),"",ABS(K450-I450)/ABS(I450-J450))</f>
        <v/>
      </c>
      <c r="AC450" s="51">
        <f>IF(OR(B450="",D450="",H450="",I450=""),"",IF(L450="","Ouvert",IF(X450&gt;0,"Gagné",IF(X450&lt;0,"Perdu","Neutre"))))</f>
        <v/>
      </c>
      <c r="AD450" s="115">
        <f>IF(X450="","",IF(C450="",B450,C450))</f>
        <v/>
      </c>
      <c r="AE450" s="109">
        <f>IF(B450="","",WEEKDAY(B450,2))</f>
        <v/>
      </c>
      <c r="AF450" s="112">
        <f>IF(X450="","",'Paramètres'!$C$9+SUM($X$6:X450))</f>
        <v/>
      </c>
      <c r="AG450" s="112">
        <f>IF(AF450="","",MAX('Paramètres'!$C$9,MAX($AF$6:AF450)))</f>
        <v/>
      </c>
      <c r="AH450" s="116">
        <f>IF(AF450="","",AF450/AG450-1)</f>
        <v/>
      </c>
      <c r="AI450" s="109">
        <f>IF(X450="","",IF(X450&gt;0,IF(N(AI449)&gt;0,N(AI449)+1,1),IF(X450&lt;0,IF(N(AI449)&lt;0,N(AI449)-1,-1),0)))</f>
        <v/>
      </c>
      <c r="AJ450" s="116">
        <f>IF(Z450="","",IFERROR(Z450/('Paramètres'!$C$9+SUM($X$5:X449)),""))</f>
        <v/>
      </c>
      <c r="AK450" s="109">
        <f>IF(AC450="Ouvert",COUNTIF($AC$6:AC450,"Ouvert"),"")</f>
        <v/>
      </c>
    </row>
    <row r="451" ht="19" customHeight="1">
      <c r="A451" s="104">
        <f>IF(B451="","",ROW()-5)</f>
        <v/>
      </c>
      <c r="B451" s="61" t="n"/>
      <c r="C451" s="61" t="n"/>
      <c r="D451" s="105" t="n"/>
      <c r="E451" s="49" t="n"/>
      <c r="F451" s="105" t="n"/>
      <c r="G451" s="49" t="n"/>
      <c r="H451" s="106" t="n"/>
      <c r="I451" s="107" t="n"/>
      <c r="J451" s="107" t="n"/>
      <c r="K451" s="107" t="n"/>
      <c r="L451" s="107" t="n"/>
      <c r="M451" s="106" t="n"/>
      <c r="N451" s="62" t="n"/>
      <c r="O451" s="49" t="n"/>
      <c r="P451" s="49" t="n"/>
      <c r="Q451" s="105" t="n"/>
      <c r="R451" s="105" t="n"/>
      <c r="S451" s="105" t="n"/>
      <c r="T451" s="105" t="n"/>
      <c r="U451" s="108">
        <f>IF(OR(H451="",I451="",I451=0),"",H451/I451)</f>
        <v/>
      </c>
      <c r="V451" s="109">
        <f>IF(OR(B451="",C451="",L451=""),"",MAX(0,C451-B451))</f>
        <v/>
      </c>
      <c r="W451" s="110">
        <f>IF(OR(L451="",U451=""),"",IF(E451="Short",(I451-L451)*U451,(L451-I451)*U451))</f>
        <v/>
      </c>
      <c r="X451" s="110">
        <f>IF(W451="","",W451-IF(M451="",0,M451))</f>
        <v/>
      </c>
      <c r="Y451" s="111">
        <f>IF(OR(X451="",H451="",H451=0),"",X451/H451)</f>
        <v/>
      </c>
      <c r="Z451" s="112">
        <f>IF(OR(I451="",J451="",U451=""),"",ABS(I451-J451)*U451)</f>
        <v/>
      </c>
      <c r="AA451" s="113">
        <f>IF(OR(X451="",Z451="",Z451=0),"",X451/Z451)</f>
        <v/>
      </c>
      <c r="AB451" s="114">
        <f>IF(OR(I451="",J451="",K451="",I451=J451),"",ABS(K451-I451)/ABS(I451-J451))</f>
        <v/>
      </c>
      <c r="AC451" s="51">
        <f>IF(OR(B451="",D451="",H451="",I451=""),"",IF(L451="","Ouvert",IF(X451&gt;0,"Gagné",IF(X451&lt;0,"Perdu","Neutre"))))</f>
        <v/>
      </c>
      <c r="AD451" s="115">
        <f>IF(X451="","",IF(C451="",B451,C451))</f>
        <v/>
      </c>
      <c r="AE451" s="109">
        <f>IF(B451="","",WEEKDAY(B451,2))</f>
        <v/>
      </c>
      <c r="AF451" s="112">
        <f>IF(X451="","",'Paramètres'!$C$9+SUM($X$6:X451))</f>
        <v/>
      </c>
      <c r="AG451" s="112">
        <f>IF(AF451="","",MAX('Paramètres'!$C$9,MAX($AF$6:AF451)))</f>
        <v/>
      </c>
      <c r="AH451" s="116">
        <f>IF(AF451="","",AF451/AG451-1)</f>
        <v/>
      </c>
      <c r="AI451" s="109">
        <f>IF(X451="","",IF(X451&gt;0,IF(N(AI450)&gt;0,N(AI450)+1,1),IF(X451&lt;0,IF(N(AI450)&lt;0,N(AI450)-1,-1),0)))</f>
        <v/>
      </c>
      <c r="AJ451" s="116">
        <f>IF(Z451="","",IFERROR(Z451/('Paramètres'!$C$9+SUM($X$5:X450)),""))</f>
        <v/>
      </c>
      <c r="AK451" s="109">
        <f>IF(AC451="Ouvert",COUNTIF($AC$6:AC451,"Ouvert"),"")</f>
        <v/>
      </c>
    </row>
    <row r="452" ht="19" customHeight="1">
      <c r="A452" s="104">
        <f>IF(B452="","",ROW()-5)</f>
        <v/>
      </c>
      <c r="B452" s="61" t="n"/>
      <c r="C452" s="61" t="n"/>
      <c r="D452" s="105" t="n"/>
      <c r="E452" s="49" t="n"/>
      <c r="F452" s="105" t="n"/>
      <c r="G452" s="49" t="n"/>
      <c r="H452" s="106" t="n"/>
      <c r="I452" s="107" t="n"/>
      <c r="J452" s="107" t="n"/>
      <c r="K452" s="107" t="n"/>
      <c r="L452" s="107" t="n"/>
      <c r="M452" s="106" t="n"/>
      <c r="N452" s="62" t="n"/>
      <c r="O452" s="49" t="n"/>
      <c r="P452" s="49" t="n"/>
      <c r="Q452" s="105" t="n"/>
      <c r="R452" s="105" t="n"/>
      <c r="S452" s="105" t="n"/>
      <c r="T452" s="105" t="n"/>
      <c r="U452" s="108">
        <f>IF(OR(H452="",I452="",I452=0),"",H452/I452)</f>
        <v/>
      </c>
      <c r="V452" s="109">
        <f>IF(OR(B452="",C452="",L452=""),"",MAX(0,C452-B452))</f>
        <v/>
      </c>
      <c r="W452" s="110">
        <f>IF(OR(L452="",U452=""),"",IF(E452="Short",(I452-L452)*U452,(L452-I452)*U452))</f>
        <v/>
      </c>
      <c r="X452" s="110">
        <f>IF(W452="","",W452-IF(M452="",0,M452))</f>
        <v/>
      </c>
      <c r="Y452" s="111">
        <f>IF(OR(X452="",H452="",H452=0),"",X452/H452)</f>
        <v/>
      </c>
      <c r="Z452" s="112">
        <f>IF(OR(I452="",J452="",U452=""),"",ABS(I452-J452)*U452)</f>
        <v/>
      </c>
      <c r="AA452" s="113">
        <f>IF(OR(X452="",Z452="",Z452=0),"",X452/Z452)</f>
        <v/>
      </c>
      <c r="AB452" s="114">
        <f>IF(OR(I452="",J452="",K452="",I452=J452),"",ABS(K452-I452)/ABS(I452-J452))</f>
        <v/>
      </c>
      <c r="AC452" s="51">
        <f>IF(OR(B452="",D452="",H452="",I452=""),"",IF(L452="","Ouvert",IF(X452&gt;0,"Gagné",IF(X452&lt;0,"Perdu","Neutre"))))</f>
        <v/>
      </c>
      <c r="AD452" s="115">
        <f>IF(X452="","",IF(C452="",B452,C452))</f>
        <v/>
      </c>
      <c r="AE452" s="109">
        <f>IF(B452="","",WEEKDAY(B452,2))</f>
        <v/>
      </c>
      <c r="AF452" s="112">
        <f>IF(X452="","",'Paramètres'!$C$9+SUM($X$6:X452))</f>
        <v/>
      </c>
      <c r="AG452" s="112">
        <f>IF(AF452="","",MAX('Paramètres'!$C$9,MAX($AF$6:AF452)))</f>
        <v/>
      </c>
      <c r="AH452" s="116">
        <f>IF(AF452="","",AF452/AG452-1)</f>
        <v/>
      </c>
      <c r="AI452" s="109">
        <f>IF(X452="","",IF(X452&gt;0,IF(N(AI451)&gt;0,N(AI451)+1,1),IF(X452&lt;0,IF(N(AI451)&lt;0,N(AI451)-1,-1),0)))</f>
        <v/>
      </c>
      <c r="AJ452" s="116">
        <f>IF(Z452="","",IFERROR(Z452/('Paramètres'!$C$9+SUM($X$5:X451)),""))</f>
        <v/>
      </c>
      <c r="AK452" s="109">
        <f>IF(AC452="Ouvert",COUNTIF($AC$6:AC452,"Ouvert"),"")</f>
        <v/>
      </c>
    </row>
    <row r="453" ht="19" customHeight="1">
      <c r="A453" s="104">
        <f>IF(B453="","",ROW()-5)</f>
        <v/>
      </c>
      <c r="B453" s="61" t="n"/>
      <c r="C453" s="61" t="n"/>
      <c r="D453" s="105" t="n"/>
      <c r="E453" s="49" t="n"/>
      <c r="F453" s="105" t="n"/>
      <c r="G453" s="49" t="n"/>
      <c r="H453" s="106" t="n"/>
      <c r="I453" s="107" t="n"/>
      <c r="J453" s="107" t="n"/>
      <c r="K453" s="107" t="n"/>
      <c r="L453" s="107" t="n"/>
      <c r="M453" s="106" t="n"/>
      <c r="N453" s="62" t="n"/>
      <c r="O453" s="49" t="n"/>
      <c r="P453" s="49" t="n"/>
      <c r="Q453" s="105" t="n"/>
      <c r="R453" s="105" t="n"/>
      <c r="S453" s="105" t="n"/>
      <c r="T453" s="105" t="n"/>
      <c r="U453" s="108">
        <f>IF(OR(H453="",I453="",I453=0),"",H453/I453)</f>
        <v/>
      </c>
      <c r="V453" s="109">
        <f>IF(OR(B453="",C453="",L453=""),"",MAX(0,C453-B453))</f>
        <v/>
      </c>
      <c r="W453" s="110">
        <f>IF(OR(L453="",U453=""),"",IF(E453="Short",(I453-L453)*U453,(L453-I453)*U453))</f>
        <v/>
      </c>
      <c r="X453" s="110">
        <f>IF(W453="","",W453-IF(M453="",0,M453))</f>
        <v/>
      </c>
      <c r="Y453" s="111">
        <f>IF(OR(X453="",H453="",H453=0),"",X453/H453)</f>
        <v/>
      </c>
      <c r="Z453" s="112">
        <f>IF(OR(I453="",J453="",U453=""),"",ABS(I453-J453)*U453)</f>
        <v/>
      </c>
      <c r="AA453" s="113">
        <f>IF(OR(X453="",Z453="",Z453=0),"",X453/Z453)</f>
        <v/>
      </c>
      <c r="AB453" s="114">
        <f>IF(OR(I453="",J453="",K453="",I453=J453),"",ABS(K453-I453)/ABS(I453-J453))</f>
        <v/>
      </c>
      <c r="AC453" s="51">
        <f>IF(OR(B453="",D453="",H453="",I453=""),"",IF(L453="","Ouvert",IF(X453&gt;0,"Gagné",IF(X453&lt;0,"Perdu","Neutre"))))</f>
        <v/>
      </c>
      <c r="AD453" s="115">
        <f>IF(X453="","",IF(C453="",B453,C453))</f>
        <v/>
      </c>
      <c r="AE453" s="109">
        <f>IF(B453="","",WEEKDAY(B453,2))</f>
        <v/>
      </c>
      <c r="AF453" s="112">
        <f>IF(X453="","",'Paramètres'!$C$9+SUM($X$6:X453))</f>
        <v/>
      </c>
      <c r="AG453" s="112">
        <f>IF(AF453="","",MAX('Paramètres'!$C$9,MAX($AF$6:AF453)))</f>
        <v/>
      </c>
      <c r="AH453" s="116">
        <f>IF(AF453="","",AF453/AG453-1)</f>
        <v/>
      </c>
      <c r="AI453" s="109">
        <f>IF(X453="","",IF(X453&gt;0,IF(N(AI452)&gt;0,N(AI452)+1,1),IF(X453&lt;0,IF(N(AI452)&lt;0,N(AI452)-1,-1),0)))</f>
        <v/>
      </c>
      <c r="AJ453" s="116">
        <f>IF(Z453="","",IFERROR(Z453/('Paramètres'!$C$9+SUM($X$5:X452)),""))</f>
        <v/>
      </c>
      <c r="AK453" s="109">
        <f>IF(AC453="Ouvert",COUNTIF($AC$6:AC453,"Ouvert"),"")</f>
        <v/>
      </c>
    </row>
    <row r="454" ht="19" customHeight="1">
      <c r="A454" s="104">
        <f>IF(B454="","",ROW()-5)</f>
        <v/>
      </c>
      <c r="B454" s="61" t="n"/>
      <c r="C454" s="61" t="n"/>
      <c r="D454" s="105" t="n"/>
      <c r="E454" s="49" t="n"/>
      <c r="F454" s="105" t="n"/>
      <c r="G454" s="49" t="n"/>
      <c r="H454" s="106" t="n"/>
      <c r="I454" s="107" t="n"/>
      <c r="J454" s="107" t="n"/>
      <c r="K454" s="107" t="n"/>
      <c r="L454" s="107" t="n"/>
      <c r="M454" s="106" t="n"/>
      <c r="N454" s="62" t="n"/>
      <c r="O454" s="49" t="n"/>
      <c r="P454" s="49" t="n"/>
      <c r="Q454" s="105" t="n"/>
      <c r="R454" s="105" t="n"/>
      <c r="S454" s="105" t="n"/>
      <c r="T454" s="105" t="n"/>
      <c r="U454" s="108">
        <f>IF(OR(H454="",I454="",I454=0),"",H454/I454)</f>
        <v/>
      </c>
      <c r="V454" s="109">
        <f>IF(OR(B454="",C454="",L454=""),"",MAX(0,C454-B454))</f>
        <v/>
      </c>
      <c r="W454" s="110">
        <f>IF(OR(L454="",U454=""),"",IF(E454="Short",(I454-L454)*U454,(L454-I454)*U454))</f>
        <v/>
      </c>
      <c r="X454" s="110">
        <f>IF(W454="","",W454-IF(M454="",0,M454))</f>
        <v/>
      </c>
      <c r="Y454" s="111">
        <f>IF(OR(X454="",H454="",H454=0),"",X454/H454)</f>
        <v/>
      </c>
      <c r="Z454" s="112">
        <f>IF(OR(I454="",J454="",U454=""),"",ABS(I454-J454)*U454)</f>
        <v/>
      </c>
      <c r="AA454" s="113">
        <f>IF(OR(X454="",Z454="",Z454=0),"",X454/Z454)</f>
        <v/>
      </c>
      <c r="AB454" s="114">
        <f>IF(OR(I454="",J454="",K454="",I454=J454),"",ABS(K454-I454)/ABS(I454-J454))</f>
        <v/>
      </c>
      <c r="AC454" s="51">
        <f>IF(OR(B454="",D454="",H454="",I454=""),"",IF(L454="","Ouvert",IF(X454&gt;0,"Gagné",IF(X454&lt;0,"Perdu","Neutre"))))</f>
        <v/>
      </c>
      <c r="AD454" s="115">
        <f>IF(X454="","",IF(C454="",B454,C454))</f>
        <v/>
      </c>
      <c r="AE454" s="109">
        <f>IF(B454="","",WEEKDAY(B454,2))</f>
        <v/>
      </c>
      <c r="AF454" s="112">
        <f>IF(X454="","",'Paramètres'!$C$9+SUM($X$6:X454))</f>
        <v/>
      </c>
      <c r="AG454" s="112">
        <f>IF(AF454="","",MAX('Paramètres'!$C$9,MAX($AF$6:AF454)))</f>
        <v/>
      </c>
      <c r="AH454" s="116">
        <f>IF(AF454="","",AF454/AG454-1)</f>
        <v/>
      </c>
      <c r="AI454" s="109">
        <f>IF(X454="","",IF(X454&gt;0,IF(N(AI453)&gt;0,N(AI453)+1,1),IF(X454&lt;0,IF(N(AI453)&lt;0,N(AI453)-1,-1),0)))</f>
        <v/>
      </c>
      <c r="AJ454" s="116">
        <f>IF(Z454="","",IFERROR(Z454/('Paramètres'!$C$9+SUM($X$5:X453)),""))</f>
        <v/>
      </c>
      <c r="AK454" s="109">
        <f>IF(AC454="Ouvert",COUNTIF($AC$6:AC454,"Ouvert"),"")</f>
        <v/>
      </c>
    </row>
    <row r="455" ht="19" customHeight="1">
      <c r="A455" s="104">
        <f>IF(B455="","",ROW()-5)</f>
        <v/>
      </c>
      <c r="B455" s="61" t="n"/>
      <c r="C455" s="61" t="n"/>
      <c r="D455" s="105" t="n"/>
      <c r="E455" s="49" t="n"/>
      <c r="F455" s="105" t="n"/>
      <c r="G455" s="49" t="n"/>
      <c r="H455" s="106" t="n"/>
      <c r="I455" s="107" t="n"/>
      <c r="J455" s="107" t="n"/>
      <c r="K455" s="107" t="n"/>
      <c r="L455" s="107" t="n"/>
      <c r="M455" s="106" t="n"/>
      <c r="N455" s="62" t="n"/>
      <c r="O455" s="49" t="n"/>
      <c r="P455" s="49" t="n"/>
      <c r="Q455" s="105" t="n"/>
      <c r="R455" s="105" t="n"/>
      <c r="S455" s="105" t="n"/>
      <c r="T455" s="105" t="n"/>
      <c r="U455" s="108">
        <f>IF(OR(H455="",I455="",I455=0),"",H455/I455)</f>
        <v/>
      </c>
      <c r="V455" s="109">
        <f>IF(OR(B455="",C455="",L455=""),"",MAX(0,C455-B455))</f>
        <v/>
      </c>
      <c r="W455" s="110">
        <f>IF(OR(L455="",U455=""),"",IF(E455="Short",(I455-L455)*U455,(L455-I455)*U455))</f>
        <v/>
      </c>
      <c r="X455" s="110">
        <f>IF(W455="","",W455-IF(M455="",0,M455))</f>
        <v/>
      </c>
      <c r="Y455" s="111">
        <f>IF(OR(X455="",H455="",H455=0),"",X455/H455)</f>
        <v/>
      </c>
      <c r="Z455" s="112">
        <f>IF(OR(I455="",J455="",U455=""),"",ABS(I455-J455)*U455)</f>
        <v/>
      </c>
      <c r="AA455" s="113">
        <f>IF(OR(X455="",Z455="",Z455=0),"",X455/Z455)</f>
        <v/>
      </c>
      <c r="AB455" s="114">
        <f>IF(OR(I455="",J455="",K455="",I455=J455),"",ABS(K455-I455)/ABS(I455-J455))</f>
        <v/>
      </c>
      <c r="AC455" s="51">
        <f>IF(OR(B455="",D455="",H455="",I455=""),"",IF(L455="","Ouvert",IF(X455&gt;0,"Gagné",IF(X455&lt;0,"Perdu","Neutre"))))</f>
        <v/>
      </c>
      <c r="AD455" s="115">
        <f>IF(X455="","",IF(C455="",B455,C455))</f>
        <v/>
      </c>
      <c r="AE455" s="109">
        <f>IF(B455="","",WEEKDAY(B455,2))</f>
        <v/>
      </c>
      <c r="AF455" s="112">
        <f>IF(X455="","",'Paramètres'!$C$9+SUM($X$6:X455))</f>
        <v/>
      </c>
      <c r="AG455" s="112">
        <f>IF(AF455="","",MAX('Paramètres'!$C$9,MAX($AF$6:AF455)))</f>
        <v/>
      </c>
      <c r="AH455" s="116">
        <f>IF(AF455="","",AF455/AG455-1)</f>
        <v/>
      </c>
      <c r="AI455" s="109">
        <f>IF(X455="","",IF(X455&gt;0,IF(N(AI454)&gt;0,N(AI454)+1,1),IF(X455&lt;0,IF(N(AI454)&lt;0,N(AI454)-1,-1),0)))</f>
        <v/>
      </c>
      <c r="AJ455" s="116">
        <f>IF(Z455="","",IFERROR(Z455/('Paramètres'!$C$9+SUM($X$5:X454)),""))</f>
        <v/>
      </c>
      <c r="AK455" s="109">
        <f>IF(AC455="Ouvert",COUNTIF($AC$6:AC455,"Ouvert"),"")</f>
        <v/>
      </c>
    </row>
    <row r="456" ht="19" customHeight="1">
      <c r="A456" s="104">
        <f>IF(B456="","",ROW()-5)</f>
        <v/>
      </c>
      <c r="B456" s="61" t="n"/>
      <c r="C456" s="61" t="n"/>
      <c r="D456" s="105" t="n"/>
      <c r="E456" s="49" t="n"/>
      <c r="F456" s="105" t="n"/>
      <c r="G456" s="49" t="n"/>
      <c r="H456" s="106" t="n"/>
      <c r="I456" s="107" t="n"/>
      <c r="J456" s="107" t="n"/>
      <c r="K456" s="107" t="n"/>
      <c r="L456" s="107" t="n"/>
      <c r="M456" s="106" t="n"/>
      <c r="N456" s="62" t="n"/>
      <c r="O456" s="49" t="n"/>
      <c r="P456" s="49" t="n"/>
      <c r="Q456" s="105" t="n"/>
      <c r="R456" s="105" t="n"/>
      <c r="S456" s="105" t="n"/>
      <c r="T456" s="105" t="n"/>
      <c r="U456" s="108">
        <f>IF(OR(H456="",I456="",I456=0),"",H456/I456)</f>
        <v/>
      </c>
      <c r="V456" s="109">
        <f>IF(OR(B456="",C456="",L456=""),"",MAX(0,C456-B456))</f>
        <v/>
      </c>
      <c r="W456" s="110">
        <f>IF(OR(L456="",U456=""),"",IF(E456="Short",(I456-L456)*U456,(L456-I456)*U456))</f>
        <v/>
      </c>
      <c r="X456" s="110">
        <f>IF(W456="","",W456-IF(M456="",0,M456))</f>
        <v/>
      </c>
      <c r="Y456" s="111">
        <f>IF(OR(X456="",H456="",H456=0),"",X456/H456)</f>
        <v/>
      </c>
      <c r="Z456" s="112">
        <f>IF(OR(I456="",J456="",U456=""),"",ABS(I456-J456)*U456)</f>
        <v/>
      </c>
      <c r="AA456" s="113">
        <f>IF(OR(X456="",Z456="",Z456=0),"",X456/Z456)</f>
        <v/>
      </c>
      <c r="AB456" s="114">
        <f>IF(OR(I456="",J456="",K456="",I456=J456),"",ABS(K456-I456)/ABS(I456-J456))</f>
        <v/>
      </c>
      <c r="AC456" s="51">
        <f>IF(OR(B456="",D456="",H456="",I456=""),"",IF(L456="","Ouvert",IF(X456&gt;0,"Gagné",IF(X456&lt;0,"Perdu","Neutre"))))</f>
        <v/>
      </c>
      <c r="AD456" s="115">
        <f>IF(X456="","",IF(C456="",B456,C456))</f>
        <v/>
      </c>
      <c r="AE456" s="109">
        <f>IF(B456="","",WEEKDAY(B456,2))</f>
        <v/>
      </c>
      <c r="AF456" s="112">
        <f>IF(X456="","",'Paramètres'!$C$9+SUM($X$6:X456))</f>
        <v/>
      </c>
      <c r="AG456" s="112">
        <f>IF(AF456="","",MAX('Paramètres'!$C$9,MAX($AF$6:AF456)))</f>
        <v/>
      </c>
      <c r="AH456" s="116">
        <f>IF(AF456="","",AF456/AG456-1)</f>
        <v/>
      </c>
      <c r="AI456" s="109">
        <f>IF(X456="","",IF(X456&gt;0,IF(N(AI455)&gt;0,N(AI455)+1,1),IF(X456&lt;0,IF(N(AI455)&lt;0,N(AI455)-1,-1),0)))</f>
        <v/>
      </c>
      <c r="AJ456" s="116">
        <f>IF(Z456="","",IFERROR(Z456/('Paramètres'!$C$9+SUM($X$5:X455)),""))</f>
        <v/>
      </c>
      <c r="AK456" s="109">
        <f>IF(AC456="Ouvert",COUNTIF($AC$6:AC456,"Ouvert"),"")</f>
        <v/>
      </c>
    </row>
    <row r="457" ht="19" customHeight="1">
      <c r="A457" s="104">
        <f>IF(B457="","",ROW()-5)</f>
        <v/>
      </c>
      <c r="B457" s="61" t="n"/>
      <c r="C457" s="61" t="n"/>
      <c r="D457" s="105" t="n"/>
      <c r="E457" s="49" t="n"/>
      <c r="F457" s="105" t="n"/>
      <c r="G457" s="49" t="n"/>
      <c r="H457" s="106" t="n"/>
      <c r="I457" s="107" t="n"/>
      <c r="J457" s="107" t="n"/>
      <c r="K457" s="107" t="n"/>
      <c r="L457" s="107" t="n"/>
      <c r="M457" s="106" t="n"/>
      <c r="N457" s="62" t="n"/>
      <c r="O457" s="49" t="n"/>
      <c r="P457" s="49" t="n"/>
      <c r="Q457" s="105" t="n"/>
      <c r="R457" s="105" t="n"/>
      <c r="S457" s="105" t="n"/>
      <c r="T457" s="105" t="n"/>
      <c r="U457" s="108">
        <f>IF(OR(H457="",I457="",I457=0),"",H457/I457)</f>
        <v/>
      </c>
      <c r="V457" s="109">
        <f>IF(OR(B457="",C457="",L457=""),"",MAX(0,C457-B457))</f>
        <v/>
      </c>
      <c r="W457" s="110">
        <f>IF(OR(L457="",U457=""),"",IF(E457="Short",(I457-L457)*U457,(L457-I457)*U457))</f>
        <v/>
      </c>
      <c r="X457" s="110">
        <f>IF(W457="","",W457-IF(M457="",0,M457))</f>
        <v/>
      </c>
      <c r="Y457" s="111">
        <f>IF(OR(X457="",H457="",H457=0),"",X457/H457)</f>
        <v/>
      </c>
      <c r="Z457" s="112">
        <f>IF(OR(I457="",J457="",U457=""),"",ABS(I457-J457)*U457)</f>
        <v/>
      </c>
      <c r="AA457" s="113">
        <f>IF(OR(X457="",Z457="",Z457=0),"",X457/Z457)</f>
        <v/>
      </c>
      <c r="AB457" s="114">
        <f>IF(OR(I457="",J457="",K457="",I457=J457),"",ABS(K457-I457)/ABS(I457-J457))</f>
        <v/>
      </c>
      <c r="AC457" s="51">
        <f>IF(OR(B457="",D457="",H457="",I457=""),"",IF(L457="","Ouvert",IF(X457&gt;0,"Gagné",IF(X457&lt;0,"Perdu","Neutre"))))</f>
        <v/>
      </c>
      <c r="AD457" s="115">
        <f>IF(X457="","",IF(C457="",B457,C457))</f>
        <v/>
      </c>
      <c r="AE457" s="109">
        <f>IF(B457="","",WEEKDAY(B457,2))</f>
        <v/>
      </c>
      <c r="AF457" s="112">
        <f>IF(X457="","",'Paramètres'!$C$9+SUM($X$6:X457))</f>
        <v/>
      </c>
      <c r="AG457" s="112">
        <f>IF(AF457="","",MAX('Paramètres'!$C$9,MAX($AF$6:AF457)))</f>
        <v/>
      </c>
      <c r="AH457" s="116">
        <f>IF(AF457="","",AF457/AG457-1)</f>
        <v/>
      </c>
      <c r="AI457" s="109">
        <f>IF(X457="","",IF(X457&gt;0,IF(N(AI456)&gt;0,N(AI456)+1,1),IF(X457&lt;0,IF(N(AI456)&lt;0,N(AI456)-1,-1),0)))</f>
        <v/>
      </c>
      <c r="AJ457" s="116">
        <f>IF(Z457="","",IFERROR(Z457/('Paramètres'!$C$9+SUM($X$5:X456)),""))</f>
        <v/>
      </c>
      <c r="AK457" s="109">
        <f>IF(AC457="Ouvert",COUNTIF($AC$6:AC457,"Ouvert"),"")</f>
        <v/>
      </c>
    </row>
    <row r="458" ht="19" customHeight="1">
      <c r="A458" s="104">
        <f>IF(B458="","",ROW()-5)</f>
        <v/>
      </c>
      <c r="B458" s="61" t="n"/>
      <c r="C458" s="61" t="n"/>
      <c r="D458" s="105" t="n"/>
      <c r="E458" s="49" t="n"/>
      <c r="F458" s="105" t="n"/>
      <c r="G458" s="49" t="n"/>
      <c r="H458" s="106" t="n"/>
      <c r="I458" s="107" t="n"/>
      <c r="J458" s="107" t="n"/>
      <c r="K458" s="107" t="n"/>
      <c r="L458" s="107" t="n"/>
      <c r="M458" s="106" t="n"/>
      <c r="N458" s="62" t="n"/>
      <c r="O458" s="49" t="n"/>
      <c r="P458" s="49" t="n"/>
      <c r="Q458" s="105" t="n"/>
      <c r="R458" s="105" t="n"/>
      <c r="S458" s="105" t="n"/>
      <c r="T458" s="105" t="n"/>
      <c r="U458" s="108">
        <f>IF(OR(H458="",I458="",I458=0),"",H458/I458)</f>
        <v/>
      </c>
      <c r="V458" s="109">
        <f>IF(OR(B458="",C458="",L458=""),"",MAX(0,C458-B458))</f>
        <v/>
      </c>
      <c r="W458" s="110">
        <f>IF(OR(L458="",U458=""),"",IF(E458="Short",(I458-L458)*U458,(L458-I458)*U458))</f>
        <v/>
      </c>
      <c r="X458" s="110">
        <f>IF(W458="","",W458-IF(M458="",0,M458))</f>
        <v/>
      </c>
      <c r="Y458" s="111">
        <f>IF(OR(X458="",H458="",H458=0),"",X458/H458)</f>
        <v/>
      </c>
      <c r="Z458" s="112">
        <f>IF(OR(I458="",J458="",U458=""),"",ABS(I458-J458)*U458)</f>
        <v/>
      </c>
      <c r="AA458" s="113">
        <f>IF(OR(X458="",Z458="",Z458=0),"",X458/Z458)</f>
        <v/>
      </c>
      <c r="AB458" s="114">
        <f>IF(OR(I458="",J458="",K458="",I458=J458),"",ABS(K458-I458)/ABS(I458-J458))</f>
        <v/>
      </c>
      <c r="AC458" s="51">
        <f>IF(OR(B458="",D458="",H458="",I458=""),"",IF(L458="","Ouvert",IF(X458&gt;0,"Gagné",IF(X458&lt;0,"Perdu","Neutre"))))</f>
        <v/>
      </c>
      <c r="AD458" s="115">
        <f>IF(X458="","",IF(C458="",B458,C458))</f>
        <v/>
      </c>
      <c r="AE458" s="109">
        <f>IF(B458="","",WEEKDAY(B458,2))</f>
        <v/>
      </c>
      <c r="AF458" s="112">
        <f>IF(X458="","",'Paramètres'!$C$9+SUM($X$6:X458))</f>
        <v/>
      </c>
      <c r="AG458" s="112">
        <f>IF(AF458="","",MAX('Paramètres'!$C$9,MAX($AF$6:AF458)))</f>
        <v/>
      </c>
      <c r="AH458" s="116">
        <f>IF(AF458="","",AF458/AG458-1)</f>
        <v/>
      </c>
      <c r="AI458" s="109">
        <f>IF(X458="","",IF(X458&gt;0,IF(N(AI457)&gt;0,N(AI457)+1,1),IF(X458&lt;0,IF(N(AI457)&lt;0,N(AI457)-1,-1),0)))</f>
        <v/>
      </c>
      <c r="AJ458" s="116">
        <f>IF(Z458="","",IFERROR(Z458/('Paramètres'!$C$9+SUM($X$5:X457)),""))</f>
        <v/>
      </c>
      <c r="AK458" s="109">
        <f>IF(AC458="Ouvert",COUNTIF($AC$6:AC458,"Ouvert"),"")</f>
        <v/>
      </c>
    </row>
    <row r="459" ht="19" customHeight="1">
      <c r="A459" s="104">
        <f>IF(B459="","",ROW()-5)</f>
        <v/>
      </c>
      <c r="B459" s="61" t="n"/>
      <c r="C459" s="61" t="n"/>
      <c r="D459" s="105" t="n"/>
      <c r="E459" s="49" t="n"/>
      <c r="F459" s="105" t="n"/>
      <c r="G459" s="49" t="n"/>
      <c r="H459" s="106" t="n"/>
      <c r="I459" s="107" t="n"/>
      <c r="J459" s="107" t="n"/>
      <c r="K459" s="107" t="n"/>
      <c r="L459" s="107" t="n"/>
      <c r="M459" s="106" t="n"/>
      <c r="N459" s="62" t="n"/>
      <c r="O459" s="49" t="n"/>
      <c r="P459" s="49" t="n"/>
      <c r="Q459" s="105" t="n"/>
      <c r="R459" s="105" t="n"/>
      <c r="S459" s="105" t="n"/>
      <c r="T459" s="105" t="n"/>
      <c r="U459" s="108">
        <f>IF(OR(H459="",I459="",I459=0),"",H459/I459)</f>
        <v/>
      </c>
      <c r="V459" s="109">
        <f>IF(OR(B459="",C459="",L459=""),"",MAX(0,C459-B459))</f>
        <v/>
      </c>
      <c r="W459" s="110">
        <f>IF(OR(L459="",U459=""),"",IF(E459="Short",(I459-L459)*U459,(L459-I459)*U459))</f>
        <v/>
      </c>
      <c r="X459" s="110">
        <f>IF(W459="","",W459-IF(M459="",0,M459))</f>
        <v/>
      </c>
      <c r="Y459" s="111">
        <f>IF(OR(X459="",H459="",H459=0),"",X459/H459)</f>
        <v/>
      </c>
      <c r="Z459" s="112">
        <f>IF(OR(I459="",J459="",U459=""),"",ABS(I459-J459)*U459)</f>
        <v/>
      </c>
      <c r="AA459" s="113">
        <f>IF(OR(X459="",Z459="",Z459=0),"",X459/Z459)</f>
        <v/>
      </c>
      <c r="AB459" s="114">
        <f>IF(OR(I459="",J459="",K459="",I459=J459),"",ABS(K459-I459)/ABS(I459-J459))</f>
        <v/>
      </c>
      <c r="AC459" s="51">
        <f>IF(OR(B459="",D459="",H459="",I459=""),"",IF(L459="","Ouvert",IF(X459&gt;0,"Gagné",IF(X459&lt;0,"Perdu","Neutre"))))</f>
        <v/>
      </c>
      <c r="AD459" s="115">
        <f>IF(X459="","",IF(C459="",B459,C459))</f>
        <v/>
      </c>
      <c r="AE459" s="109">
        <f>IF(B459="","",WEEKDAY(B459,2))</f>
        <v/>
      </c>
      <c r="AF459" s="112">
        <f>IF(X459="","",'Paramètres'!$C$9+SUM($X$6:X459))</f>
        <v/>
      </c>
      <c r="AG459" s="112">
        <f>IF(AF459="","",MAX('Paramètres'!$C$9,MAX($AF$6:AF459)))</f>
        <v/>
      </c>
      <c r="AH459" s="116">
        <f>IF(AF459="","",AF459/AG459-1)</f>
        <v/>
      </c>
      <c r="AI459" s="109">
        <f>IF(X459="","",IF(X459&gt;0,IF(N(AI458)&gt;0,N(AI458)+1,1),IF(X459&lt;0,IF(N(AI458)&lt;0,N(AI458)-1,-1),0)))</f>
        <v/>
      </c>
      <c r="AJ459" s="116">
        <f>IF(Z459="","",IFERROR(Z459/('Paramètres'!$C$9+SUM($X$5:X458)),""))</f>
        <v/>
      </c>
      <c r="AK459" s="109">
        <f>IF(AC459="Ouvert",COUNTIF($AC$6:AC459,"Ouvert"),"")</f>
        <v/>
      </c>
    </row>
    <row r="460" ht="19" customHeight="1">
      <c r="A460" s="104">
        <f>IF(B460="","",ROW()-5)</f>
        <v/>
      </c>
      <c r="B460" s="61" t="n"/>
      <c r="C460" s="61" t="n"/>
      <c r="D460" s="105" t="n"/>
      <c r="E460" s="49" t="n"/>
      <c r="F460" s="105" t="n"/>
      <c r="G460" s="49" t="n"/>
      <c r="H460" s="106" t="n"/>
      <c r="I460" s="107" t="n"/>
      <c r="J460" s="107" t="n"/>
      <c r="K460" s="107" t="n"/>
      <c r="L460" s="107" t="n"/>
      <c r="M460" s="106" t="n"/>
      <c r="N460" s="62" t="n"/>
      <c r="O460" s="49" t="n"/>
      <c r="P460" s="49" t="n"/>
      <c r="Q460" s="105" t="n"/>
      <c r="R460" s="105" t="n"/>
      <c r="S460" s="105" t="n"/>
      <c r="T460" s="105" t="n"/>
      <c r="U460" s="108">
        <f>IF(OR(H460="",I460="",I460=0),"",H460/I460)</f>
        <v/>
      </c>
      <c r="V460" s="109">
        <f>IF(OR(B460="",C460="",L460=""),"",MAX(0,C460-B460))</f>
        <v/>
      </c>
      <c r="W460" s="110">
        <f>IF(OR(L460="",U460=""),"",IF(E460="Short",(I460-L460)*U460,(L460-I460)*U460))</f>
        <v/>
      </c>
      <c r="X460" s="110">
        <f>IF(W460="","",W460-IF(M460="",0,M460))</f>
        <v/>
      </c>
      <c r="Y460" s="111">
        <f>IF(OR(X460="",H460="",H460=0),"",X460/H460)</f>
        <v/>
      </c>
      <c r="Z460" s="112">
        <f>IF(OR(I460="",J460="",U460=""),"",ABS(I460-J460)*U460)</f>
        <v/>
      </c>
      <c r="AA460" s="113">
        <f>IF(OR(X460="",Z460="",Z460=0),"",X460/Z460)</f>
        <v/>
      </c>
      <c r="AB460" s="114">
        <f>IF(OR(I460="",J460="",K460="",I460=J460),"",ABS(K460-I460)/ABS(I460-J460))</f>
        <v/>
      </c>
      <c r="AC460" s="51">
        <f>IF(OR(B460="",D460="",H460="",I460=""),"",IF(L460="","Ouvert",IF(X460&gt;0,"Gagné",IF(X460&lt;0,"Perdu","Neutre"))))</f>
        <v/>
      </c>
      <c r="AD460" s="115">
        <f>IF(X460="","",IF(C460="",B460,C460))</f>
        <v/>
      </c>
      <c r="AE460" s="109">
        <f>IF(B460="","",WEEKDAY(B460,2))</f>
        <v/>
      </c>
      <c r="AF460" s="112">
        <f>IF(X460="","",'Paramètres'!$C$9+SUM($X$6:X460))</f>
        <v/>
      </c>
      <c r="AG460" s="112">
        <f>IF(AF460="","",MAX('Paramètres'!$C$9,MAX($AF$6:AF460)))</f>
        <v/>
      </c>
      <c r="AH460" s="116">
        <f>IF(AF460="","",AF460/AG460-1)</f>
        <v/>
      </c>
      <c r="AI460" s="109">
        <f>IF(X460="","",IF(X460&gt;0,IF(N(AI459)&gt;0,N(AI459)+1,1),IF(X460&lt;0,IF(N(AI459)&lt;0,N(AI459)-1,-1),0)))</f>
        <v/>
      </c>
      <c r="AJ460" s="116">
        <f>IF(Z460="","",IFERROR(Z460/('Paramètres'!$C$9+SUM($X$5:X459)),""))</f>
        <v/>
      </c>
      <c r="AK460" s="109">
        <f>IF(AC460="Ouvert",COUNTIF($AC$6:AC460,"Ouvert"),"")</f>
        <v/>
      </c>
    </row>
    <row r="461" ht="19" customHeight="1">
      <c r="A461" s="104">
        <f>IF(B461="","",ROW()-5)</f>
        <v/>
      </c>
      <c r="B461" s="61" t="n"/>
      <c r="C461" s="61" t="n"/>
      <c r="D461" s="105" t="n"/>
      <c r="E461" s="49" t="n"/>
      <c r="F461" s="105" t="n"/>
      <c r="G461" s="49" t="n"/>
      <c r="H461" s="106" t="n"/>
      <c r="I461" s="107" t="n"/>
      <c r="J461" s="107" t="n"/>
      <c r="K461" s="107" t="n"/>
      <c r="L461" s="107" t="n"/>
      <c r="M461" s="106" t="n"/>
      <c r="N461" s="62" t="n"/>
      <c r="O461" s="49" t="n"/>
      <c r="P461" s="49" t="n"/>
      <c r="Q461" s="105" t="n"/>
      <c r="R461" s="105" t="n"/>
      <c r="S461" s="105" t="n"/>
      <c r="T461" s="105" t="n"/>
      <c r="U461" s="108">
        <f>IF(OR(H461="",I461="",I461=0),"",H461/I461)</f>
        <v/>
      </c>
      <c r="V461" s="109">
        <f>IF(OR(B461="",C461="",L461=""),"",MAX(0,C461-B461))</f>
        <v/>
      </c>
      <c r="W461" s="110">
        <f>IF(OR(L461="",U461=""),"",IF(E461="Short",(I461-L461)*U461,(L461-I461)*U461))</f>
        <v/>
      </c>
      <c r="X461" s="110">
        <f>IF(W461="","",W461-IF(M461="",0,M461))</f>
        <v/>
      </c>
      <c r="Y461" s="111">
        <f>IF(OR(X461="",H461="",H461=0),"",X461/H461)</f>
        <v/>
      </c>
      <c r="Z461" s="112">
        <f>IF(OR(I461="",J461="",U461=""),"",ABS(I461-J461)*U461)</f>
        <v/>
      </c>
      <c r="AA461" s="113">
        <f>IF(OR(X461="",Z461="",Z461=0),"",X461/Z461)</f>
        <v/>
      </c>
      <c r="AB461" s="114">
        <f>IF(OR(I461="",J461="",K461="",I461=J461),"",ABS(K461-I461)/ABS(I461-J461))</f>
        <v/>
      </c>
      <c r="AC461" s="51">
        <f>IF(OR(B461="",D461="",H461="",I461=""),"",IF(L461="","Ouvert",IF(X461&gt;0,"Gagné",IF(X461&lt;0,"Perdu","Neutre"))))</f>
        <v/>
      </c>
      <c r="AD461" s="115">
        <f>IF(X461="","",IF(C461="",B461,C461))</f>
        <v/>
      </c>
      <c r="AE461" s="109">
        <f>IF(B461="","",WEEKDAY(B461,2))</f>
        <v/>
      </c>
      <c r="AF461" s="112">
        <f>IF(X461="","",'Paramètres'!$C$9+SUM($X$6:X461))</f>
        <v/>
      </c>
      <c r="AG461" s="112">
        <f>IF(AF461="","",MAX('Paramètres'!$C$9,MAX($AF$6:AF461)))</f>
        <v/>
      </c>
      <c r="AH461" s="116">
        <f>IF(AF461="","",AF461/AG461-1)</f>
        <v/>
      </c>
      <c r="AI461" s="109">
        <f>IF(X461="","",IF(X461&gt;0,IF(N(AI460)&gt;0,N(AI460)+1,1),IF(X461&lt;0,IF(N(AI460)&lt;0,N(AI460)-1,-1),0)))</f>
        <v/>
      </c>
      <c r="AJ461" s="116">
        <f>IF(Z461="","",IFERROR(Z461/('Paramètres'!$C$9+SUM($X$5:X460)),""))</f>
        <v/>
      </c>
      <c r="AK461" s="109">
        <f>IF(AC461="Ouvert",COUNTIF($AC$6:AC461,"Ouvert"),"")</f>
        <v/>
      </c>
    </row>
    <row r="462" ht="19" customHeight="1">
      <c r="A462" s="104">
        <f>IF(B462="","",ROW()-5)</f>
        <v/>
      </c>
      <c r="B462" s="61" t="n"/>
      <c r="C462" s="61" t="n"/>
      <c r="D462" s="105" t="n"/>
      <c r="E462" s="49" t="n"/>
      <c r="F462" s="105" t="n"/>
      <c r="G462" s="49" t="n"/>
      <c r="H462" s="106" t="n"/>
      <c r="I462" s="107" t="n"/>
      <c r="J462" s="107" t="n"/>
      <c r="K462" s="107" t="n"/>
      <c r="L462" s="107" t="n"/>
      <c r="M462" s="106" t="n"/>
      <c r="N462" s="62" t="n"/>
      <c r="O462" s="49" t="n"/>
      <c r="P462" s="49" t="n"/>
      <c r="Q462" s="105" t="n"/>
      <c r="R462" s="105" t="n"/>
      <c r="S462" s="105" t="n"/>
      <c r="T462" s="105" t="n"/>
      <c r="U462" s="108">
        <f>IF(OR(H462="",I462="",I462=0),"",H462/I462)</f>
        <v/>
      </c>
      <c r="V462" s="109">
        <f>IF(OR(B462="",C462="",L462=""),"",MAX(0,C462-B462))</f>
        <v/>
      </c>
      <c r="W462" s="110">
        <f>IF(OR(L462="",U462=""),"",IF(E462="Short",(I462-L462)*U462,(L462-I462)*U462))</f>
        <v/>
      </c>
      <c r="X462" s="110">
        <f>IF(W462="","",W462-IF(M462="",0,M462))</f>
        <v/>
      </c>
      <c r="Y462" s="111">
        <f>IF(OR(X462="",H462="",H462=0),"",X462/H462)</f>
        <v/>
      </c>
      <c r="Z462" s="112">
        <f>IF(OR(I462="",J462="",U462=""),"",ABS(I462-J462)*U462)</f>
        <v/>
      </c>
      <c r="AA462" s="113">
        <f>IF(OR(X462="",Z462="",Z462=0),"",X462/Z462)</f>
        <v/>
      </c>
      <c r="AB462" s="114">
        <f>IF(OR(I462="",J462="",K462="",I462=J462),"",ABS(K462-I462)/ABS(I462-J462))</f>
        <v/>
      </c>
      <c r="AC462" s="51">
        <f>IF(OR(B462="",D462="",H462="",I462=""),"",IF(L462="","Ouvert",IF(X462&gt;0,"Gagné",IF(X462&lt;0,"Perdu","Neutre"))))</f>
        <v/>
      </c>
      <c r="AD462" s="115">
        <f>IF(X462="","",IF(C462="",B462,C462))</f>
        <v/>
      </c>
      <c r="AE462" s="109">
        <f>IF(B462="","",WEEKDAY(B462,2))</f>
        <v/>
      </c>
      <c r="AF462" s="112">
        <f>IF(X462="","",'Paramètres'!$C$9+SUM($X$6:X462))</f>
        <v/>
      </c>
      <c r="AG462" s="112">
        <f>IF(AF462="","",MAX('Paramètres'!$C$9,MAX($AF$6:AF462)))</f>
        <v/>
      </c>
      <c r="AH462" s="116">
        <f>IF(AF462="","",AF462/AG462-1)</f>
        <v/>
      </c>
      <c r="AI462" s="109">
        <f>IF(X462="","",IF(X462&gt;0,IF(N(AI461)&gt;0,N(AI461)+1,1),IF(X462&lt;0,IF(N(AI461)&lt;0,N(AI461)-1,-1),0)))</f>
        <v/>
      </c>
      <c r="AJ462" s="116">
        <f>IF(Z462="","",IFERROR(Z462/('Paramètres'!$C$9+SUM($X$5:X461)),""))</f>
        <v/>
      </c>
      <c r="AK462" s="109">
        <f>IF(AC462="Ouvert",COUNTIF($AC$6:AC462,"Ouvert"),"")</f>
        <v/>
      </c>
    </row>
    <row r="463" ht="19" customHeight="1">
      <c r="A463" s="104">
        <f>IF(B463="","",ROW()-5)</f>
        <v/>
      </c>
      <c r="B463" s="61" t="n"/>
      <c r="C463" s="61" t="n"/>
      <c r="D463" s="105" t="n"/>
      <c r="E463" s="49" t="n"/>
      <c r="F463" s="105" t="n"/>
      <c r="G463" s="49" t="n"/>
      <c r="H463" s="106" t="n"/>
      <c r="I463" s="107" t="n"/>
      <c r="J463" s="107" t="n"/>
      <c r="K463" s="107" t="n"/>
      <c r="L463" s="107" t="n"/>
      <c r="M463" s="106" t="n"/>
      <c r="N463" s="62" t="n"/>
      <c r="O463" s="49" t="n"/>
      <c r="P463" s="49" t="n"/>
      <c r="Q463" s="105" t="n"/>
      <c r="R463" s="105" t="n"/>
      <c r="S463" s="105" t="n"/>
      <c r="T463" s="105" t="n"/>
      <c r="U463" s="108">
        <f>IF(OR(H463="",I463="",I463=0),"",H463/I463)</f>
        <v/>
      </c>
      <c r="V463" s="109">
        <f>IF(OR(B463="",C463="",L463=""),"",MAX(0,C463-B463))</f>
        <v/>
      </c>
      <c r="W463" s="110">
        <f>IF(OR(L463="",U463=""),"",IF(E463="Short",(I463-L463)*U463,(L463-I463)*U463))</f>
        <v/>
      </c>
      <c r="X463" s="110">
        <f>IF(W463="","",W463-IF(M463="",0,M463))</f>
        <v/>
      </c>
      <c r="Y463" s="111">
        <f>IF(OR(X463="",H463="",H463=0),"",X463/H463)</f>
        <v/>
      </c>
      <c r="Z463" s="112">
        <f>IF(OR(I463="",J463="",U463=""),"",ABS(I463-J463)*U463)</f>
        <v/>
      </c>
      <c r="AA463" s="113">
        <f>IF(OR(X463="",Z463="",Z463=0),"",X463/Z463)</f>
        <v/>
      </c>
      <c r="AB463" s="114">
        <f>IF(OR(I463="",J463="",K463="",I463=J463),"",ABS(K463-I463)/ABS(I463-J463))</f>
        <v/>
      </c>
      <c r="AC463" s="51">
        <f>IF(OR(B463="",D463="",H463="",I463=""),"",IF(L463="","Ouvert",IF(X463&gt;0,"Gagné",IF(X463&lt;0,"Perdu","Neutre"))))</f>
        <v/>
      </c>
      <c r="AD463" s="115">
        <f>IF(X463="","",IF(C463="",B463,C463))</f>
        <v/>
      </c>
      <c r="AE463" s="109">
        <f>IF(B463="","",WEEKDAY(B463,2))</f>
        <v/>
      </c>
      <c r="AF463" s="112">
        <f>IF(X463="","",'Paramètres'!$C$9+SUM($X$6:X463))</f>
        <v/>
      </c>
      <c r="AG463" s="112">
        <f>IF(AF463="","",MAX('Paramètres'!$C$9,MAX($AF$6:AF463)))</f>
        <v/>
      </c>
      <c r="AH463" s="116">
        <f>IF(AF463="","",AF463/AG463-1)</f>
        <v/>
      </c>
      <c r="AI463" s="109">
        <f>IF(X463="","",IF(X463&gt;0,IF(N(AI462)&gt;0,N(AI462)+1,1),IF(X463&lt;0,IF(N(AI462)&lt;0,N(AI462)-1,-1),0)))</f>
        <v/>
      </c>
      <c r="AJ463" s="116">
        <f>IF(Z463="","",IFERROR(Z463/('Paramètres'!$C$9+SUM($X$5:X462)),""))</f>
        <v/>
      </c>
      <c r="AK463" s="109">
        <f>IF(AC463="Ouvert",COUNTIF($AC$6:AC463,"Ouvert"),"")</f>
        <v/>
      </c>
    </row>
    <row r="464" ht="19" customHeight="1">
      <c r="A464" s="104">
        <f>IF(B464="","",ROW()-5)</f>
        <v/>
      </c>
      <c r="B464" s="61" t="n"/>
      <c r="C464" s="61" t="n"/>
      <c r="D464" s="105" t="n"/>
      <c r="E464" s="49" t="n"/>
      <c r="F464" s="105" t="n"/>
      <c r="G464" s="49" t="n"/>
      <c r="H464" s="106" t="n"/>
      <c r="I464" s="107" t="n"/>
      <c r="J464" s="107" t="n"/>
      <c r="K464" s="107" t="n"/>
      <c r="L464" s="107" t="n"/>
      <c r="M464" s="106" t="n"/>
      <c r="N464" s="62" t="n"/>
      <c r="O464" s="49" t="n"/>
      <c r="P464" s="49" t="n"/>
      <c r="Q464" s="105" t="n"/>
      <c r="R464" s="105" t="n"/>
      <c r="S464" s="105" t="n"/>
      <c r="T464" s="105" t="n"/>
      <c r="U464" s="108">
        <f>IF(OR(H464="",I464="",I464=0),"",H464/I464)</f>
        <v/>
      </c>
      <c r="V464" s="109">
        <f>IF(OR(B464="",C464="",L464=""),"",MAX(0,C464-B464))</f>
        <v/>
      </c>
      <c r="W464" s="110">
        <f>IF(OR(L464="",U464=""),"",IF(E464="Short",(I464-L464)*U464,(L464-I464)*U464))</f>
        <v/>
      </c>
      <c r="X464" s="110">
        <f>IF(W464="","",W464-IF(M464="",0,M464))</f>
        <v/>
      </c>
      <c r="Y464" s="111">
        <f>IF(OR(X464="",H464="",H464=0),"",X464/H464)</f>
        <v/>
      </c>
      <c r="Z464" s="112">
        <f>IF(OR(I464="",J464="",U464=""),"",ABS(I464-J464)*U464)</f>
        <v/>
      </c>
      <c r="AA464" s="113">
        <f>IF(OR(X464="",Z464="",Z464=0),"",X464/Z464)</f>
        <v/>
      </c>
      <c r="AB464" s="114">
        <f>IF(OR(I464="",J464="",K464="",I464=J464),"",ABS(K464-I464)/ABS(I464-J464))</f>
        <v/>
      </c>
      <c r="AC464" s="51">
        <f>IF(OR(B464="",D464="",H464="",I464=""),"",IF(L464="","Ouvert",IF(X464&gt;0,"Gagné",IF(X464&lt;0,"Perdu","Neutre"))))</f>
        <v/>
      </c>
      <c r="AD464" s="115">
        <f>IF(X464="","",IF(C464="",B464,C464))</f>
        <v/>
      </c>
      <c r="AE464" s="109">
        <f>IF(B464="","",WEEKDAY(B464,2))</f>
        <v/>
      </c>
      <c r="AF464" s="112">
        <f>IF(X464="","",'Paramètres'!$C$9+SUM($X$6:X464))</f>
        <v/>
      </c>
      <c r="AG464" s="112">
        <f>IF(AF464="","",MAX('Paramètres'!$C$9,MAX($AF$6:AF464)))</f>
        <v/>
      </c>
      <c r="AH464" s="116">
        <f>IF(AF464="","",AF464/AG464-1)</f>
        <v/>
      </c>
      <c r="AI464" s="109">
        <f>IF(X464="","",IF(X464&gt;0,IF(N(AI463)&gt;0,N(AI463)+1,1),IF(X464&lt;0,IF(N(AI463)&lt;0,N(AI463)-1,-1),0)))</f>
        <v/>
      </c>
      <c r="AJ464" s="116">
        <f>IF(Z464="","",IFERROR(Z464/('Paramètres'!$C$9+SUM($X$5:X463)),""))</f>
        <v/>
      </c>
      <c r="AK464" s="109">
        <f>IF(AC464="Ouvert",COUNTIF($AC$6:AC464,"Ouvert"),"")</f>
        <v/>
      </c>
    </row>
    <row r="465" ht="19" customHeight="1">
      <c r="A465" s="104">
        <f>IF(B465="","",ROW()-5)</f>
        <v/>
      </c>
      <c r="B465" s="61" t="n"/>
      <c r="C465" s="61" t="n"/>
      <c r="D465" s="105" t="n"/>
      <c r="E465" s="49" t="n"/>
      <c r="F465" s="105" t="n"/>
      <c r="G465" s="49" t="n"/>
      <c r="H465" s="106" t="n"/>
      <c r="I465" s="107" t="n"/>
      <c r="J465" s="107" t="n"/>
      <c r="K465" s="107" t="n"/>
      <c r="L465" s="107" t="n"/>
      <c r="M465" s="106" t="n"/>
      <c r="N465" s="62" t="n"/>
      <c r="O465" s="49" t="n"/>
      <c r="P465" s="49" t="n"/>
      <c r="Q465" s="105" t="n"/>
      <c r="R465" s="105" t="n"/>
      <c r="S465" s="105" t="n"/>
      <c r="T465" s="105" t="n"/>
      <c r="U465" s="108">
        <f>IF(OR(H465="",I465="",I465=0),"",H465/I465)</f>
        <v/>
      </c>
      <c r="V465" s="109">
        <f>IF(OR(B465="",C465="",L465=""),"",MAX(0,C465-B465))</f>
        <v/>
      </c>
      <c r="W465" s="110">
        <f>IF(OR(L465="",U465=""),"",IF(E465="Short",(I465-L465)*U465,(L465-I465)*U465))</f>
        <v/>
      </c>
      <c r="X465" s="110">
        <f>IF(W465="","",W465-IF(M465="",0,M465))</f>
        <v/>
      </c>
      <c r="Y465" s="111">
        <f>IF(OR(X465="",H465="",H465=0),"",X465/H465)</f>
        <v/>
      </c>
      <c r="Z465" s="112">
        <f>IF(OR(I465="",J465="",U465=""),"",ABS(I465-J465)*U465)</f>
        <v/>
      </c>
      <c r="AA465" s="113">
        <f>IF(OR(X465="",Z465="",Z465=0),"",X465/Z465)</f>
        <v/>
      </c>
      <c r="AB465" s="114">
        <f>IF(OR(I465="",J465="",K465="",I465=J465),"",ABS(K465-I465)/ABS(I465-J465))</f>
        <v/>
      </c>
      <c r="AC465" s="51">
        <f>IF(OR(B465="",D465="",H465="",I465=""),"",IF(L465="","Ouvert",IF(X465&gt;0,"Gagné",IF(X465&lt;0,"Perdu","Neutre"))))</f>
        <v/>
      </c>
      <c r="AD465" s="115">
        <f>IF(X465="","",IF(C465="",B465,C465))</f>
        <v/>
      </c>
      <c r="AE465" s="109">
        <f>IF(B465="","",WEEKDAY(B465,2))</f>
        <v/>
      </c>
      <c r="AF465" s="112">
        <f>IF(X465="","",'Paramètres'!$C$9+SUM($X$6:X465))</f>
        <v/>
      </c>
      <c r="AG465" s="112">
        <f>IF(AF465="","",MAX('Paramètres'!$C$9,MAX($AF$6:AF465)))</f>
        <v/>
      </c>
      <c r="AH465" s="116">
        <f>IF(AF465="","",AF465/AG465-1)</f>
        <v/>
      </c>
      <c r="AI465" s="109">
        <f>IF(X465="","",IF(X465&gt;0,IF(N(AI464)&gt;0,N(AI464)+1,1),IF(X465&lt;0,IF(N(AI464)&lt;0,N(AI464)-1,-1),0)))</f>
        <v/>
      </c>
      <c r="AJ465" s="116">
        <f>IF(Z465="","",IFERROR(Z465/('Paramètres'!$C$9+SUM($X$5:X464)),""))</f>
        <v/>
      </c>
      <c r="AK465" s="109">
        <f>IF(AC465="Ouvert",COUNTIF($AC$6:AC465,"Ouvert"),"")</f>
        <v/>
      </c>
    </row>
    <row r="466" ht="19" customHeight="1">
      <c r="A466" s="104">
        <f>IF(B466="","",ROW()-5)</f>
        <v/>
      </c>
      <c r="B466" s="61" t="n"/>
      <c r="C466" s="61" t="n"/>
      <c r="D466" s="105" t="n"/>
      <c r="E466" s="49" t="n"/>
      <c r="F466" s="105" t="n"/>
      <c r="G466" s="49" t="n"/>
      <c r="H466" s="106" t="n"/>
      <c r="I466" s="107" t="n"/>
      <c r="J466" s="107" t="n"/>
      <c r="K466" s="107" t="n"/>
      <c r="L466" s="107" t="n"/>
      <c r="M466" s="106" t="n"/>
      <c r="N466" s="62" t="n"/>
      <c r="O466" s="49" t="n"/>
      <c r="P466" s="49" t="n"/>
      <c r="Q466" s="105" t="n"/>
      <c r="R466" s="105" t="n"/>
      <c r="S466" s="105" t="n"/>
      <c r="T466" s="105" t="n"/>
      <c r="U466" s="108">
        <f>IF(OR(H466="",I466="",I466=0),"",H466/I466)</f>
        <v/>
      </c>
      <c r="V466" s="109">
        <f>IF(OR(B466="",C466="",L466=""),"",MAX(0,C466-B466))</f>
        <v/>
      </c>
      <c r="W466" s="110">
        <f>IF(OR(L466="",U466=""),"",IF(E466="Short",(I466-L466)*U466,(L466-I466)*U466))</f>
        <v/>
      </c>
      <c r="X466" s="110">
        <f>IF(W466="","",W466-IF(M466="",0,M466))</f>
        <v/>
      </c>
      <c r="Y466" s="111">
        <f>IF(OR(X466="",H466="",H466=0),"",X466/H466)</f>
        <v/>
      </c>
      <c r="Z466" s="112">
        <f>IF(OR(I466="",J466="",U466=""),"",ABS(I466-J466)*U466)</f>
        <v/>
      </c>
      <c r="AA466" s="113">
        <f>IF(OR(X466="",Z466="",Z466=0),"",X466/Z466)</f>
        <v/>
      </c>
      <c r="AB466" s="114">
        <f>IF(OR(I466="",J466="",K466="",I466=J466),"",ABS(K466-I466)/ABS(I466-J466))</f>
        <v/>
      </c>
      <c r="AC466" s="51">
        <f>IF(OR(B466="",D466="",H466="",I466=""),"",IF(L466="","Ouvert",IF(X466&gt;0,"Gagné",IF(X466&lt;0,"Perdu","Neutre"))))</f>
        <v/>
      </c>
      <c r="AD466" s="115">
        <f>IF(X466="","",IF(C466="",B466,C466))</f>
        <v/>
      </c>
      <c r="AE466" s="109">
        <f>IF(B466="","",WEEKDAY(B466,2))</f>
        <v/>
      </c>
      <c r="AF466" s="112">
        <f>IF(X466="","",'Paramètres'!$C$9+SUM($X$6:X466))</f>
        <v/>
      </c>
      <c r="AG466" s="112">
        <f>IF(AF466="","",MAX('Paramètres'!$C$9,MAX($AF$6:AF466)))</f>
        <v/>
      </c>
      <c r="AH466" s="116">
        <f>IF(AF466="","",AF466/AG466-1)</f>
        <v/>
      </c>
      <c r="AI466" s="109">
        <f>IF(X466="","",IF(X466&gt;0,IF(N(AI465)&gt;0,N(AI465)+1,1),IF(X466&lt;0,IF(N(AI465)&lt;0,N(AI465)-1,-1),0)))</f>
        <v/>
      </c>
      <c r="AJ466" s="116">
        <f>IF(Z466="","",IFERROR(Z466/('Paramètres'!$C$9+SUM($X$5:X465)),""))</f>
        <v/>
      </c>
      <c r="AK466" s="109">
        <f>IF(AC466="Ouvert",COUNTIF($AC$6:AC466,"Ouvert"),"")</f>
        <v/>
      </c>
    </row>
    <row r="467" ht="19" customHeight="1">
      <c r="A467" s="104">
        <f>IF(B467="","",ROW()-5)</f>
        <v/>
      </c>
      <c r="B467" s="61" t="n"/>
      <c r="C467" s="61" t="n"/>
      <c r="D467" s="105" t="n"/>
      <c r="E467" s="49" t="n"/>
      <c r="F467" s="105" t="n"/>
      <c r="G467" s="49" t="n"/>
      <c r="H467" s="106" t="n"/>
      <c r="I467" s="107" t="n"/>
      <c r="J467" s="107" t="n"/>
      <c r="K467" s="107" t="n"/>
      <c r="L467" s="107" t="n"/>
      <c r="M467" s="106" t="n"/>
      <c r="N467" s="62" t="n"/>
      <c r="O467" s="49" t="n"/>
      <c r="P467" s="49" t="n"/>
      <c r="Q467" s="105" t="n"/>
      <c r="R467" s="105" t="n"/>
      <c r="S467" s="105" t="n"/>
      <c r="T467" s="105" t="n"/>
      <c r="U467" s="108">
        <f>IF(OR(H467="",I467="",I467=0),"",H467/I467)</f>
        <v/>
      </c>
      <c r="V467" s="109">
        <f>IF(OR(B467="",C467="",L467=""),"",MAX(0,C467-B467))</f>
        <v/>
      </c>
      <c r="W467" s="110">
        <f>IF(OR(L467="",U467=""),"",IF(E467="Short",(I467-L467)*U467,(L467-I467)*U467))</f>
        <v/>
      </c>
      <c r="X467" s="110">
        <f>IF(W467="","",W467-IF(M467="",0,M467))</f>
        <v/>
      </c>
      <c r="Y467" s="111">
        <f>IF(OR(X467="",H467="",H467=0),"",X467/H467)</f>
        <v/>
      </c>
      <c r="Z467" s="112">
        <f>IF(OR(I467="",J467="",U467=""),"",ABS(I467-J467)*U467)</f>
        <v/>
      </c>
      <c r="AA467" s="113">
        <f>IF(OR(X467="",Z467="",Z467=0),"",X467/Z467)</f>
        <v/>
      </c>
      <c r="AB467" s="114">
        <f>IF(OR(I467="",J467="",K467="",I467=J467),"",ABS(K467-I467)/ABS(I467-J467))</f>
        <v/>
      </c>
      <c r="AC467" s="51">
        <f>IF(OR(B467="",D467="",H467="",I467=""),"",IF(L467="","Ouvert",IF(X467&gt;0,"Gagné",IF(X467&lt;0,"Perdu","Neutre"))))</f>
        <v/>
      </c>
      <c r="AD467" s="115">
        <f>IF(X467="","",IF(C467="",B467,C467))</f>
        <v/>
      </c>
      <c r="AE467" s="109">
        <f>IF(B467="","",WEEKDAY(B467,2))</f>
        <v/>
      </c>
      <c r="AF467" s="112">
        <f>IF(X467="","",'Paramètres'!$C$9+SUM($X$6:X467))</f>
        <v/>
      </c>
      <c r="AG467" s="112">
        <f>IF(AF467="","",MAX('Paramètres'!$C$9,MAX($AF$6:AF467)))</f>
        <v/>
      </c>
      <c r="AH467" s="116">
        <f>IF(AF467="","",AF467/AG467-1)</f>
        <v/>
      </c>
      <c r="AI467" s="109">
        <f>IF(X467="","",IF(X467&gt;0,IF(N(AI466)&gt;0,N(AI466)+1,1),IF(X467&lt;0,IF(N(AI466)&lt;0,N(AI466)-1,-1),0)))</f>
        <v/>
      </c>
      <c r="AJ467" s="116">
        <f>IF(Z467="","",IFERROR(Z467/('Paramètres'!$C$9+SUM($X$5:X466)),""))</f>
        <v/>
      </c>
      <c r="AK467" s="109">
        <f>IF(AC467="Ouvert",COUNTIF($AC$6:AC467,"Ouvert"),"")</f>
        <v/>
      </c>
    </row>
    <row r="468" ht="19" customHeight="1">
      <c r="A468" s="104">
        <f>IF(B468="","",ROW()-5)</f>
        <v/>
      </c>
      <c r="B468" s="61" t="n"/>
      <c r="C468" s="61" t="n"/>
      <c r="D468" s="105" t="n"/>
      <c r="E468" s="49" t="n"/>
      <c r="F468" s="105" t="n"/>
      <c r="G468" s="49" t="n"/>
      <c r="H468" s="106" t="n"/>
      <c r="I468" s="107" t="n"/>
      <c r="J468" s="107" t="n"/>
      <c r="K468" s="107" t="n"/>
      <c r="L468" s="107" t="n"/>
      <c r="M468" s="106" t="n"/>
      <c r="N468" s="62" t="n"/>
      <c r="O468" s="49" t="n"/>
      <c r="P468" s="49" t="n"/>
      <c r="Q468" s="105" t="n"/>
      <c r="R468" s="105" t="n"/>
      <c r="S468" s="105" t="n"/>
      <c r="T468" s="105" t="n"/>
      <c r="U468" s="108">
        <f>IF(OR(H468="",I468="",I468=0),"",H468/I468)</f>
        <v/>
      </c>
      <c r="V468" s="109">
        <f>IF(OR(B468="",C468="",L468=""),"",MAX(0,C468-B468))</f>
        <v/>
      </c>
      <c r="W468" s="110">
        <f>IF(OR(L468="",U468=""),"",IF(E468="Short",(I468-L468)*U468,(L468-I468)*U468))</f>
        <v/>
      </c>
      <c r="X468" s="110">
        <f>IF(W468="","",W468-IF(M468="",0,M468))</f>
        <v/>
      </c>
      <c r="Y468" s="111">
        <f>IF(OR(X468="",H468="",H468=0),"",X468/H468)</f>
        <v/>
      </c>
      <c r="Z468" s="112">
        <f>IF(OR(I468="",J468="",U468=""),"",ABS(I468-J468)*U468)</f>
        <v/>
      </c>
      <c r="AA468" s="113">
        <f>IF(OR(X468="",Z468="",Z468=0),"",X468/Z468)</f>
        <v/>
      </c>
      <c r="AB468" s="114">
        <f>IF(OR(I468="",J468="",K468="",I468=J468),"",ABS(K468-I468)/ABS(I468-J468))</f>
        <v/>
      </c>
      <c r="AC468" s="51">
        <f>IF(OR(B468="",D468="",H468="",I468=""),"",IF(L468="","Ouvert",IF(X468&gt;0,"Gagné",IF(X468&lt;0,"Perdu","Neutre"))))</f>
        <v/>
      </c>
      <c r="AD468" s="115">
        <f>IF(X468="","",IF(C468="",B468,C468))</f>
        <v/>
      </c>
      <c r="AE468" s="109">
        <f>IF(B468="","",WEEKDAY(B468,2))</f>
        <v/>
      </c>
      <c r="AF468" s="112">
        <f>IF(X468="","",'Paramètres'!$C$9+SUM($X$6:X468))</f>
        <v/>
      </c>
      <c r="AG468" s="112">
        <f>IF(AF468="","",MAX('Paramètres'!$C$9,MAX($AF$6:AF468)))</f>
        <v/>
      </c>
      <c r="AH468" s="116">
        <f>IF(AF468="","",AF468/AG468-1)</f>
        <v/>
      </c>
      <c r="AI468" s="109">
        <f>IF(X468="","",IF(X468&gt;0,IF(N(AI467)&gt;0,N(AI467)+1,1),IF(X468&lt;0,IF(N(AI467)&lt;0,N(AI467)-1,-1),0)))</f>
        <v/>
      </c>
      <c r="AJ468" s="116">
        <f>IF(Z468="","",IFERROR(Z468/('Paramètres'!$C$9+SUM($X$5:X467)),""))</f>
        <v/>
      </c>
      <c r="AK468" s="109">
        <f>IF(AC468="Ouvert",COUNTIF($AC$6:AC468,"Ouvert"),"")</f>
        <v/>
      </c>
    </row>
    <row r="469" ht="19" customHeight="1">
      <c r="A469" s="104">
        <f>IF(B469="","",ROW()-5)</f>
        <v/>
      </c>
      <c r="B469" s="61" t="n"/>
      <c r="C469" s="61" t="n"/>
      <c r="D469" s="105" t="n"/>
      <c r="E469" s="49" t="n"/>
      <c r="F469" s="105" t="n"/>
      <c r="G469" s="49" t="n"/>
      <c r="H469" s="106" t="n"/>
      <c r="I469" s="107" t="n"/>
      <c r="J469" s="107" t="n"/>
      <c r="K469" s="107" t="n"/>
      <c r="L469" s="107" t="n"/>
      <c r="M469" s="106" t="n"/>
      <c r="N469" s="62" t="n"/>
      <c r="O469" s="49" t="n"/>
      <c r="P469" s="49" t="n"/>
      <c r="Q469" s="105" t="n"/>
      <c r="R469" s="105" t="n"/>
      <c r="S469" s="105" t="n"/>
      <c r="T469" s="105" t="n"/>
      <c r="U469" s="108">
        <f>IF(OR(H469="",I469="",I469=0),"",H469/I469)</f>
        <v/>
      </c>
      <c r="V469" s="109">
        <f>IF(OR(B469="",C469="",L469=""),"",MAX(0,C469-B469))</f>
        <v/>
      </c>
      <c r="W469" s="110">
        <f>IF(OR(L469="",U469=""),"",IF(E469="Short",(I469-L469)*U469,(L469-I469)*U469))</f>
        <v/>
      </c>
      <c r="X469" s="110">
        <f>IF(W469="","",W469-IF(M469="",0,M469))</f>
        <v/>
      </c>
      <c r="Y469" s="111">
        <f>IF(OR(X469="",H469="",H469=0),"",X469/H469)</f>
        <v/>
      </c>
      <c r="Z469" s="112">
        <f>IF(OR(I469="",J469="",U469=""),"",ABS(I469-J469)*U469)</f>
        <v/>
      </c>
      <c r="AA469" s="113">
        <f>IF(OR(X469="",Z469="",Z469=0),"",X469/Z469)</f>
        <v/>
      </c>
      <c r="AB469" s="114">
        <f>IF(OR(I469="",J469="",K469="",I469=J469),"",ABS(K469-I469)/ABS(I469-J469))</f>
        <v/>
      </c>
      <c r="AC469" s="51">
        <f>IF(OR(B469="",D469="",H469="",I469=""),"",IF(L469="","Ouvert",IF(X469&gt;0,"Gagné",IF(X469&lt;0,"Perdu","Neutre"))))</f>
        <v/>
      </c>
      <c r="AD469" s="115">
        <f>IF(X469="","",IF(C469="",B469,C469))</f>
        <v/>
      </c>
      <c r="AE469" s="109">
        <f>IF(B469="","",WEEKDAY(B469,2))</f>
        <v/>
      </c>
      <c r="AF469" s="112">
        <f>IF(X469="","",'Paramètres'!$C$9+SUM($X$6:X469))</f>
        <v/>
      </c>
      <c r="AG469" s="112">
        <f>IF(AF469="","",MAX('Paramètres'!$C$9,MAX($AF$6:AF469)))</f>
        <v/>
      </c>
      <c r="AH469" s="116">
        <f>IF(AF469="","",AF469/AG469-1)</f>
        <v/>
      </c>
      <c r="AI469" s="109">
        <f>IF(X469="","",IF(X469&gt;0,IF(N(AI468)&gt;0,N(AI468)+1,1),IF(X469&lt;0,IF(N(AI468)&lt;0,N(AI468)-1,-1),0)))</f>
        <v/>
      </c>
      <c r="AJ469" s="116">
        <f>IF(Z469="","",IFERROR(Z469/('Paramètres'!$C$9+SUM($X$5:X468)),""))</f>
        <v/>
      </c>
      <c r="AK469" s="109">
        <f>IF(AC469="Ouvert",COUNTIF($AC$6:AC469,"Ouvert"),"")</f>
        <v/>
      </c>
    </row>
    <row r="470" ht="19" customHeight="1">
      <c r="A470" s="104">
        <f>IF(B470="","",ROW()-5)</f>
        <v/>
      </c>
      <c r="B470" s="61" t="n"/>
      <c r="C470" s="61" t="n"/>
      <c r="D470" s="105" t="n"/>
      <c r="E470" s="49" t="n"/>
      <c r="F470" s="105" t="n"/>
      <c r="G470" s="49" t="n"/>
      <c r="H470" s="106" t="n"/>
      <c r="I470" s="107" t="n"/>
      <c r="J470" s="107" t="n"/>
      <c r="K470" s="107" t="n"/>
      <c r="L470" s="107" t="n"/>
      <c r="M470" s="106" t="n"/>
      <c r="N470" s="62" t="n"/>
      <c r="O470" s="49" t="n"/>
      <c r="P470" s="49" t="n"/>
      <c r="Q470" s="105" t="n"/>
      <c r="R470" s="105" t="n"/>
      <c r="S470" s="105" t="n"/>
      <c r="T470" s="105" t="n"/>
      <c r="U470" s="108">
        <f>IF(OR(H470="",I470="",I470=0),"",H470/I470)</f>
        <v/>
      </c>
      <c r="V470" s="109">
        <f>IF(OR(B470="",C470="",L470=""),"",MAX(0,C470-B470))</f>
        <v/>
      </c>
      <c r="W470" s="110">
        <f>IF(OR(L470="",U470=""),"",IF(E470="Short",(I470-L470)*U470,(L470-I470)*U470))</f>
        <v/>
      </c>
      <c r="X470" s="110">
        <f>IF(W470="","",W470-IF(M470="",0,M470))</f>
        <v/>
      </c>
      <c r="Y470" s="111">
        <f>IF(OR(X470="",H470="",H470=0),"",X470/H470)</f>
        <v/>
      </c>
      <c r="Z470" s="112">
        <f>IF(OR(I470="",J470="",U470=""),"",ABS(I470-J470)*U470)</f>
        <v/>
      </c>
      <c r="AA470" s="113">
        <f>IF(OR(X470="",Z470="",Z470=0),"",X470/Z470)</f>
        <v/>
      </c>
      <c r="AB470" s="114">
        <f>IF(OR(I470="",J470="",K470="",I470=J470),"",ABS(K470-I470)/ABS(I470-J470))</f>
        <v/>
      </c>
      <c r="AC470" s="51">
        <f>IF(OR(B470="",D470="",H470="",I470=""),"",IF(L470="","Ouvert",IF(X470&gt;0,"Gagné",IF(X470&lt;0,"Perdu","Neutre"))))</f>
        <v/>
      </c>
      <c r="AD470" s="115">
        <f>IF(X470="","",IF(C470="",B470,C470))</f>
        <v/>
      </c>
      <c r="AE470" s="109">
        <f>IF(B470="","",WEEKDAY(B470,2))</f>
        <v/>
      </c>
      <c r="AF470" s="112">
        <f>IF(X470="","",'Paramètres'!$C$9+SUM($X$6:X470))</f>
        <v/>
      </c>
      <c r="AG470" s="112">
        <f>IF(AF470="","",MAX('Paramètres'!$C$9,MAX($AF$6:AF470)))</f>
        <v/>
      </c>
      <c r="AH470" s="116">
        <f>IF(AF470="","",AF470/AG470-1)</f>
        <v/>
      </c>
      <c r="AI470" s="109">
        <f>IF(X470="","",IF(X470&gt;0,IF(N(AI469)&gt;0,N(AI469)+1,1),IF(X470&lt;0,IF(N(AI469)&lt;0,N(AI469)-1,-1),0)))</f>
        <v/>
      </c>
      <c r="AJ470" s="116">
        <f>IF(Z470="","",IFERROR(Z470/('Paramètres'!$C$9+SUM($X$5:X469)),""))</f>
        <v/>
      </c>
      <c r="AK470" s="109">
        <f>IF(AC470="Ouvert",COUNTIF($AC$6:AC470,"Ouvert"),"")</f>
        <v/>
      </c>
    </row>
    <row r="471" ht="19" customHeight="1">
      <c r="A471" s="104">
        <f>IF(B471="","",ROW()-5)</f>
        <v/>
      </c>
      <c r="B471" s="61" t="n"/>
      <c r="C471" s="61" t="n"/>
      <c r="D471" s="105" t="n"/>
      <c r="E471" s="49" t="n"/>
      <c r="F471" s="105" t="n"/>
      <c r="G471" s="49" t="n"/>
      <c r="H471" s="106" t="n"/>
      <c r="I471" s="107" t="n"/>
      <c r="J471" s="107" t="n"/>
      <c r="K471" s="107" t="n"/>
      <c r="L471" s="107" t="n"/>
      <c r="M471" s="106" t="n"/>
      <c r="N471" s="62" t="n"/>
      <c r="O471" s="49" t="n"/>
      <c r="P471" s="49" t="n"/>
      <c r="Q471" s="105" t="n"/>
      <c r="R471" s="105" t="n"/>
      <c r="S471" s="105" t="n"/>
      <c r="T471" s="105" t="n"/>
      <c r="U471" s="108">
        <f>IF(OR(H471="",I471="",I471=0),"",H471/I471)</f>
        <v/>
      </c>
      <c r="V471" s="109">
        <f>IF(OR(B471="",C471="",L471=""),"",MAX(0,C471-B471))</f>
        <v/>
      </c>
      <c r="W471" s="110">
        <f>IF(OR(L471="",U471=""),"",IF(E471="Short",(I471-L471)*U471,(L471-I471)*U471))</f>
        <v/>
      </c>
      <c r="X471" s="110">
        <f>IF(W471="","",W471-IF(M471="",0,M471))</f>
        <v/>
      </c>
      <c r="Y471" s="111">
        <f>IF(OR(X471="",H471="",H471=0),"",X471/H471)</f>
        <v/>
      </c>
      <c r="Z471" s="112">
        <f>IF(OR(I471="",J471="",U471=""),"",ABS(I471-J471)*U471)</f>
        <v/>
      </c>
      <c r="AA471" s="113">
        <f>IF(OR(X471="",Z471="",Z471=0),"",X471/Z471)</f>
        <v/>
      </c>
      <c r="AB471" s="114">
        <f>IF(OR(I471="",J471="",K471="",I471=J471),"",ABS(K471-I471)/ABS(I471-J471))</f>
        <v/>
      </c>
      <c r="AC471" s="51">
        <f>IF(OR(B471="",D471="",H471="",I471=""),"",IF(L471="","Ouvert",IF(X471&gt;0,"Gagné",IF(X471&lt;0,"Perdu","Neutre"))))</f>
        <v/>
      </c>
      <c r="AD471" s="115">
        <f>IF(X471="","",IF(C471="",B471,C471))</f>
        <v/>
      </c>
      <c r="AE471" s="109">
        <f>IF(B471="","",WEEKDAY(B471,2))</f>
        <v/>
      </c>
      <c r="AF471" s="112">
        <f>IF(X471="","",'Paramètres'!$C$9+SUM($X$6:X471))</f>
        <v/>
      </c>
      <c r="AG471" s="112">
        <f>IF(AF471="","",MAX('Paramètres'!$C$9,MAX($AF$6:AF471)))</f>
        <v/>
      </c>
      <c r="AH471" s="116">
        <f>IF(AF471="","",AF471/AG471-1)</f>
        <v/>
      </c>
      <c r="AI471" s="109">
        <f>IF(X471="","",IF(X471&gt;0,IF(N(AI470)&gt;0,N(AI470)+1,1),IF(X471&lt;0,IF(N(AI470)&lt;0,N(AI470)-1,-1),0)))</f>
        <v/>
      </c>
      <c r="AJ471" s="116">
        <f>IF(Z471="","",IFERROR(Z471/('Paramètres'!$C$9+SUM($X$5:X470)),""))</f>
        <v/>
      </c>
      <c r="AK471" s="109">
        <f>IF(AC471="Ouvert",COUNTIF($AC$6:AC471,"Ouvert"),"")</f>
        <v/>
      </c>
    </row>
    <row r="472" ht="19" customHeight="1">
      <c r="A472" s="104">
        <f>IF(B472="","",ROW()-5)</f>
        <v/>
      </c>
      <c r="B472" s="61" t="n"/>
      <c r="C472" s="61" t="n"/>
      <c r="D472" s="105" t="n"/>
      <c r="E472" s="49" t="n"/>
      <c r="F472" s="105" t="n"/>
      <c r="G472" s="49" t="n"/>
      <c r="H472" s="106" t="n"/>
      <c r="I472" s="107" t="n"/>
      <c r="J472" s="107" t="n"/>
      <c r="K472" s="107" t="n"/>
      <c r="L472" s="107" t="n"/>
      <c r="M472" s="106" t="n"/>
      <c r="N472" s="62" t="n"/>
      <c r="O472" s="49" t="n"/>
      <c r="P472" s="49" t="n"/>
      <c r="Q472" s="105" t="n"/>
      <c r="R472" s="105" t="n"/>
      <c r="S472" s="105" t="n"/>
      <c r="T472" s="105" t="n"/>
      <c r="U472" s="108">
        <f>IF(OR(H472="",I472="",I472=0),"",H472/I472)</f>
        <v/>
      </c>
      <c r="V472" s="109">
        <f>IF(OR(B472="",C472="",L472=""),"",MAX(0,C472-B472))</f>
        <v/>
      </c>
      <c r="W472" s="110">
        <f>IF(OR(L472="",U472=""),"",IF(E472="Short",(I472-L472)*U472,(L472-I472)*U472))</f>
        <v/>
      </c>
      <c r="X472" s="110">
        <f>IF(W472="","",W472-IF(M472="",0,M472))</f>
        <v/>
      </c>
      <c r="Y472" s="111">
        <f>IF(OR(X472="",H472="",H472=0),"",X472/H472)</f>
        <v/>
      </c>
      <c r="Z472" s="112">
        <f>IF(OR(I472="",J472="",U472=""),"",ABS(I472-J472)*U472)</f>
        <v/>
      </c>
      <c r="AA472" s="113">
        <f>IF(OR(X472="",Z472="",Z472=0),"",X472/Z472)</f>
        <v/>
      </c>
      <c r="AB472" s="114">
        <f>IF(OR(I472="",J472="",K472="",I472=J472),"",ABS(K472-I472)/ABS(I472-J472))</f>
        <v/>
      </c>
      <c r="AC472" s="51">
        <f>IF(OR(B472="",D472="",H472="",I472=""),"",IF(L472="","Ouvert",IF(X472&gt;0,"Gagné",IF(X472&lt;0,"Perdu","Neutre"))))</f>
        <v/>
      </c>
      <c r="AD472" s="115">
        <f>IF(X472="","",IF(C472="",B472,C472))</f>
        <v/>
      </c>
      <c r="AE472" s="109">
        <f>IF(B472="","",WEEKDAY(B472,2))</f>
        <v/>
      </c>
      <c r="AF472" s="112">
        <f>IF(X472="","",'Paramètres'!$C$9+SUM($X$6:X472))</f>
        <v/>
      </c>
      <c r="AG472" s="112">
        <f>IF(AF472="","",MAX('Paramètres'!$C$9,MAX($AF$6:AF472)))</f>
        <v/>
      </c>
      <c r="AH472" s="116">
        <f>IF(AF472="","",AF472/AG472-1)</f>
        <v/>
      </c>
      <c r="AI472" s="109">
        <f>IF(X472="","",IF(X472&gt;0,IF(N(AI471)&gt;0,N(AI471)+1,1),IF(X472&lt;0,IF(N(AI471)&lt;0,N(AI471)-1,-1),0)))</f>
        <v/>
      </c>
      <c r="AJ472" s="116">
        <f>IF(Z472="","",IFERROR(Z472/('Paramètres'!$C$9+SUM($X$5:X471)),""))</f>
        <v/>
      </c>
      <c r="AK472" s="109">
        <f>IF(AC472="Ouvert",COUNTIF($AC$6:AC472,"Ouvert"),"")</f>
        <v/>
      </c>
    </row>
    <row r="473" ht="19" customHeight="1">
      <c r="A473" s="104">
        <f>IF(B473="","",ROW()-5)</f>
        <v/>
      </c>
      <c r="B473" s="61" t="n"/>
      <c r="C473" s="61" t="n"/>
      <c r="D473" s="105" t="n"/>
      <c r="E473" s="49" t="n"/>
      <c r="F473" s="105" t="n"/>
      <c r="G473" s="49" t="n"/>
      <c r="H473" s="106" t="n"/>
      <c r="I473" s="107" t="n"/>
      <c r="J473" s="107" t="n"/>
      <c r="K473" s="107" t="n"/>
      <c r="L473" s="107" t="n"/>
      <c r="M473" s="106" t="n"/>
      <c r="N473" s="62" t="n"/>
      <c r="O473" s="49" t="n"/>
      <c r="P473" s="49" t="n"/>
      <c r="Q473" s="105" t="n"/>
      <c r="R473" s="105" t="n"/>
      <c r="S473" s="105" t="n"/>
      <c r="T473" s="105" t="n"/>
      <c r="U473" s="108">
        <f>IF(OR(H473="",I473="",I473=0),"",H473/I473)</f>
        <v/>
      </c>
      <c r="V473" s="109">
        <f>IF(OR(B473="",C473="",L473=""),"",MAX(0,C473-B473))</f>
        <v/>
      </c>
      <c r="W473" s="110">
        <f>IF(OR(L473="",U473=""),"",IF(E473="Short",(I473-L473)*U473,(L473-I473)*U473))</f>
        <v/>
      </c>
      <c r="X473" s="110">
        <f>IF(W473="","",W473-IF(M473="",0,M473))</f>
        <v/>
      </c>
      <c r="Y473" s="111">
        <f>IF(OR(X473="",H473="",H473=0),"",X473/H473)</f>
        <v/>
      </c>
      <c r="Z473" s="112">
        <f>IF(OR(I473="",J473="",U473=""),"",ABS(I473-J473)*U473)</f>
        <v/>
      </c>
      <c r="AA473" s="113">
        <f>IF(OR(X473="",Z473="",Z473=0),"",X473/Z473)</f>
        <v/>
      </c>
      <c r="AB473" s="114">
        <f>IF(OR(I473="",J473="",K473="",I473=J473),"",ABS(K473-I473)/ABS(I473-J473))</f>
        <v/>
      </c>
      <c r="AC473" s="51">
        <f>IF(OR(B473="",D473="",H473="",I473=""),"",IF(L473="","Ouvert",IF(X473&gt;0,"Gagné",IF(X473&lt;0,"Perdu","Neutre"))))</f>
        <v/>
      </c>
      <c r="AD473" s="115">
        <f>IF(X473="","",IF(C473="",B473,C473))</f>
        <v/>
      </c>
      <c r="AE473" s="109">
        <f>IF(B473="","",WEEKDAY(B473,2))</f>
        <v/>
      </c>
      <c r="AF473" s="112">
        <f>IF(X473="","",'Paramètres'!$C$9+SUM($X$6:X473))</f>
        <v/>
      </c>
      <c r="AG473" s="112">
        <f>IF(AF473="","",MAX('Paramètres'!$C$9,MAX($AF$6:AF473)))</f>
        <v/>
      </c>
      <c r="AH473" s="116">
        <f>IF(AF473="","",AF473/AG473-1)</f>
        <v/>
      </c>
      <c r="AI473" s="109">
        <f>IF(X473="","",IF(X473&gt;0,IF(N(AI472)&gt;0,N(AI472)+1,1),IF(X473&lt;0,IF(N(AI472)&lt;0,N(AI472)-1,-1),0)))</f>
        <v/>
      </c>
      <c r="AJ473" s="116">
        <f>IF(Z473="","",IFERROR(Z473/('Paramètres'!$C$9+SUM($X$5:X472)),""))</f>
        <v/>
      </c>
      <c r="AK473" s="109">
        <f>IF(AC473="Ouvert",COUNTIF($AC$6:AC473,"Ouvert"),"")</f>
        <v/>
      </c>
    </row>
    <row r="474" ht="19" customHeight="1">
      <c r="A474" s="104">
        <f>IF(B474="","",ROW()-5)</f>
        <v/>
      </c>
      <c r="B474" s="61" t="n"/>
      <c r="C474" s="61" t="n"/>
      <c r="D474" s="105" t="n"/>
      <c r="E474" s="49" t="n"/>
      <c r="F474" s="105" t="n"/>
      <c r="G474" s="49" t="n"/>
      <c r="H474" s="106" t="n"/>
      <c r="I474" s="107" t="n"/>
      <c r="J474" s="107" t="n"/>
      <c r="K474" s="107" t="n"/>
      <c r="L474" s="107" t="n"/>
      <c r="M474" s="106" t="n"/>
      <c r="N474" s="62" t="n"/>
      <c r="O474" s="49" t="n"/>
      <c r="P474" s="49" t="n"/>
      <c r="Q474" s="105" t="n"/>
      <c r="R474" s="105" t="n"/>
      <c r="S474" s="105" t="n"/>
      <c r="T474" s="105" t="n"/>
      <c r="U474" s="108">
        <f>IF(OR(H474="",I474="",I474=0),"",H474/I474)</f>
        <v/>
      </c>
      <c r="V474" s="109">
        <f>IF(OR(B474="",C474="",L474=""),"",MAX(0,C474-B474))</f>
        <v/>
      </c>
      <c r="W474" s="110">
        <f>IF(OR(L474="",U474=""),"",IF(E474="Short",(I474-L474)*U474,(L474-I474)*U474))</f>
        <v/>
      </c>
      <c r="X474" s="110">
        <f>IF(W474="","",W474-IF(M474="",0,M474))</f>
        <v/>
      </c>
      <c r="Y474" s="111">
        <f>IF(OR(X474="",H474="",H474=0),"",X474/H474)</f>
        <v/>
      </c>
      <c r="Z474" s="112">
        <f>IF(OR(I474="",J474="",U474=""),"",ABS(I474-J474)*U474)</f>
        <v/>
      </c>
      <c r="AA474" s="113">
        <f>IF(OR(X474="",Z474="",Z474=0),"",X474/Z474)</f>
        <v/>
      </c>
      <c r="AB474" s="114">
        <f>IF(OR(I474="",J474="",K474="",I474=J474),"",ABS(K474-I474)/ABS(I474-J474))</f>
        <v/>
      </c>
      <c r="AC474" s="51">
        <f>IF(OR(B474="",D474="",H474="",I474=""),"",IF(L474="","Ouvert",IF(X474&gt;0,"Gagné",IF(X474&lt;0,"Perdu","Neutre"))))</f>
        <v/>
      </c>
      <c r="AD474" s="115">
        <f>IF(X474="","",IF(C474="",B474,C474))</f>
        <v/>
      </c>
      <c r="AE474" s="109">
        <f>IF(B474="","",WEEKDAY(B474,2))</f>
        <v/>
      </c>
      <c r="AF474" s="112">
        <f>IF(X474="","",'Paramètres'!$C$9+SUM($X$6:X474))</f>
        <v/>
      </c>
      <c r="AG474" s="112">
        <f>IF(AF474="","",MAX('Paramètres'!$C$9,MAX($AF$6:AF474)))</f>
        <v/>
      </c>
      <c r="AH474" s="116">
        <f>IF(AF474="","",AF474/AG474-1)</f>
        <v/>
      </c>
      <c r="AI474" s="109">
        <f>IF(X474="","",IF(X474&gt;0,IF(N(AI473)&gt;0,N(AI473)+1,1),IF(X474&lt;0,IF(N(AI473)&lt;0,N(AI473)-1,-1),0)))</f>
        <v/>
      </c>
      <c r="AJ474" s="116">
        <f>IF(Z474="","",IFERROR(Z474/('Paramètres'!$C$9+SUM($X$5:X473)),""))</f>
        <v/>
      </c>
      <c r="AK474" s="109">
        <f>IF(AC474="Ouvert",COUNTIF($AC$6:AC474,"Ouvert"),"")</f>
        <v/>
      </c>
    </row>
    <row r="475" ht="19" customHeight="1">
      <c r="A475" s="104">
        <f>IF(B475="","",ROW()-5)</f>
        <v/>
      </c>
      <c r="B475" s="61" t="n"/>
      <c r="C475" s="61" t="n"/>
      <c r="D475" s="105" t="n"/>
      <c r="E475" s="49" t="n"/>
      <c r="F475" s="105" t="n"/>
      <c r="G475" s="49" t="n"/>
      <c r="H475" s="106" t="n"/>
      <c r="I475" s="107" t="n"/>
      <c r="J475" s="107" t="n"/>
      <c r="K475" s="107" t="n"/>
      <c r="L475" s="107" t="n"/>
      <c r="M475" s="106" t="n"/>
      <c r="N475" s="62" t="n"/>
      <c r="O475" s="49" t="n"/>
      <c r="P475" s="49" t="n"/>
      <c r="Q475" s="105" t="n"/>
      <c r="R475" s="105" t="n"/>
      <c r="S475" s="105" t="n"/>
      <c r="T475" s="105" t="n"/>
      <c r="U475" s="108">
        <f>IF(OR(H475="",I475="",I475=0),"",H475/I475)</f>
        <v/>
      </c>
      <c r="V475" s="109">
        <f>IF(OR(B475="",C475="",L475=""),"",MAX(0,C475-B475))</f>
        <v/>
      </c>
      <c r="W475" s="110">
        <f>IF(OR(L475="",U475=""),"",IF(E475="Short",(I475-L475)*U475,(L475-I475)*U475))</f>
        <v/>
      </c>
      <c r="X475" s="110">
        <f>IF(W475="","",W475-IF(M475="",0,M475))</f>
        <v/>
      </c>
      <c r="Y475" s="111">
        <f>IF(OR(X475="",H475="",H475=0),"",X475/H475)</f>
        <v/>
      </c>
      <c r="Z475" s="112">
        <f>IF(OR(I475="",J475="",U475=""),"",ABS(I475-J475)*U475)</f>
        <v/>
      </c>
      <c r="AA475" s="113">
        <f>IF(OR(X475="",Z475="",Z475=0),"",X475/Z475)</f>
        <v/>
      </c>
      <c r="AB475" s="114">
        <f>IF(OR(I475="",J475="",K475="",I475=J475),"",ABS(K475-I475)/ABS(I475-J475))</f>
        <v/>
      </c>
      <c r="AC475" s="51">
        <f>IF(OR(B475="",D475="",H475="",I475=""),"",IF(L475="","Ouvert",IF(X475&gt;0,"Gagné",IF(X475&lt;0,"Perdu","Neutre"))))</f>
        <v/>
      </c>
      <c r="AD475" s="115">
        <f>IF(X475="","",IF(C475="",B475,C475))</f>
        <v/>
      </c>
      <c r="AE475" s="109">
        <f>IF(B475="","",WEEKDAY(B475,2))</f>
        <v/>
      </c>
      <c r="AF475" s="112">
        <f>IF(X475="","",'Paramètres'!$C$9+SUM($X$6:X475))</f>
        <v/>
      </c>
      <c r="AG475" s="112">
        <f>IF(AF475="","",MAX('Paramètres'!$C$9,MAX($AF$6:AF475)))</f>
        <v/>
      </c>
      <c r="AH475" s="116">
        <f>IF(AF475="","",AF475/AG475-1)</f>
        <v/>
      </c>
      <c r="AI475" s="109">
        <f>IF(X475="","",IF(X475&gt;0,IF(N(AI474)&gt;0,N(AI474)+1,1),IF(X475&lt;0,IF(N(AI474)&lt;0,N(AI474)-1,-1),0)))</f>
        <v/>
      </c>
      <c r="AJ475" s="116">
        <f>IF(Z475="","",IFERROR(Z475/('Paramètres'!$C$9+SUM($X$5:X474)),""))</f>
        <v/>
      </c>
      <c r="AK475" s="109">
        <f>IF(AC475="Ouvert",COUNTIF($AC$6:AC475,"Ouvert"),"")</f>
        <v/>
      </c>
    </row>
    <row r="476" ht="19" customHeight="1">
      <c r="A476" s="104">
        <f>IF(B476="","",ROW()-5)</f>
        <v/>
      </c>
      <c r="B476" s="61" t="n"/>
      <c r="C476" s="61" t="n"/>
      <c r="D476" s="105" t="n"/>
      <c r="E476" s="49" t="n"/>
      <c r="F476" s="105" t="n"/>
      <c r="G476" s="49" t="n"/>
      <c r="H476" s="106" t="n"/>
      <c r="I476" s="107" t="n"/>
      <c r="J476" s="107" t="n"/>
      <c r="K476" s="107" t="n"/>
      <c r="L476" s="107" t="n"/>
      <c r="M476" s="106" t="n"/>
      <c r="N476" s="62" t="n"/>
      <c r="O476" s="49" t="n"/>
      <c r="P476" s="49" t="n"/>
      <c r="Q476" s="105" t="n"/>
      <c r="R476" s="105" t="n"/>
      <c r="S476" s="105" t="n"/>
      <c r="T476" s="105" t="n"/>
      <c r="U476" s="108">
        <f>IF(OR(H476="",I476="",I476=0),"",H476/I476)</f>
        <v/>
      </c>
      <c r="V476" s="109">
        <f>IF(OR(B476="",C476="",L476=""),"",MAX(0,C476-B476))</f>
        <v/>
      </c>
      <c r="W476" s="110">
        <f>IF(OR(L476="",U476=""),"",IF(E476="Short",(I476-L476)*U476,(L476-I476)*U476))</f>
        <v/>
      </c>
      <c r="X476" s="110">
        <f>IF(W476="","",W476-IF(M476="",0,M476))</f>
        <v/>
      </c>
      <c r="Y476" s="111">
        <f>IF(OR(X476="",H476="",H476=0),"",X476/H476)</f>
        <v/>
      </c>
      <c r="Z476" s="112">
        <f>IF(OR(I476="",J476="",U476=""),"",ABS(I476-J476)*U476)</f>
        <v/>
      </c>
      <c r="AA476" s="113">
        <f>IF(OR(X476="",Z476="",Z476=0),"",X476/Z476)</f>
        <v/>
      </c>
      <c r="AB476" s="114">
        <f>IF(OR(I476="",J476="",K476="",I476=J476),"",ABS(K476-I476)/ABS(I476-J476))</f>
        <v/>
      </c>
      <c r="AC476" s="51">
        <f>IF(OR(B476="",D476="",H476="",I476=""),"",IF(L476="","Ouvert",IF(X476&gt;0,"Gagné",IF(X476&lt;0,"Perdu","Neutre"))))</f>
        <v/>
      </c>
      <c r="AD476" s="115">
        <f>IF(X476="","",IF(C476="",B476,C476))</f>
        <v/>
      </c>
      <c r="AE476" s="109">
        <f>IF(B476="","",WEEKDAY(B476,2))</f>
        <v/>
      </c>
      <c r="AF476" s="112">
        <f>IF(X476="","",'Paramètres'!$C$9+SUM($X$6:X476))</f>
        <v/>
      </c>
      <c r="AG476" s="112">
        <f>IF(AF476="","",MAX('Paramètres'!$C$9,MAX($AF$6:AF476)))</f>
        <v/>
      </c>
      <c r="AH476" s="116">
        <f>IF(AF476="","",AF476/AG476-1)</f>
        <v/>
      </c>
      <c r="AI476" s="109">
        <f>IF(X476="","",IF(X476&gt;0,IF(N(AI475)&gt;0,N(AI475)+1,1),IF(X476&lt;0,IF(N(AI475)&lt;0,N(AI475)-1,-1),0)))</f>
        <v/>
      </c>
      <c r="AJ476" s="116">
        <f>IF(Z476="","",IFERROR(Z476/('Paramètres'!$C$9+SUM($X$5:X475)),""))</f>
        <v/>
      </c>
      <c r="AK476" s="109">
        <f>IF(AC476="Ouvert",COUNTIF($AC$6:AC476,"Ouvert"),"")</f>
        <v/>
      </c>
    </row>
    <row r="477" ht="19" customHeight="1">
      <c r="A477" s="104">
        <f>IF(B477="","",ROW()-5)</f>
        <v/>
      </c>
      <c r="B477" s="61" t="n"/>
      <c r="C477" s="61" t="n"/>
      <c r="D477" s="105" t="n"/>
      <c r="E477" s="49" t="n"/>
      <c r="F477" s="105" t="n"/>
      <c r="G477" s="49" t="n"/>
      <c r="H477" s="106" t="n"/>
      <c r="I477" s="107" t="n"/>
      <c r="J477" s="107" t="n"/>
      <c r="K477" s="107" t="n"/>
      <c r="L477" s="107" t="n"/>
      <c r="M477" s="106" t="n"/>
      <c r="N477" s="62" t="n"/>
      <c r="O477" s="49" t="n"/>
      <c r="P477" s="49" t="n"/>
      <c r="Q477" s="105" t="n"/>
      <c r="R477" s="105" t="n"/>
      <c r="S477" s="105" t="n"/>
      <c r="T477" s="105" t="n"/>
      <c r="U477" s="108">
        <f>IF(OR(H477="",I477="",I477=0),"",H477/I477)</f>
        <v/>
      </c>
      <c r="V477" s="109">
        <f>IF(OR(B477="",C477="",L477=""),"",MAX(0,C477-B477))</f>
        <v/>
      </c>
      <c r="W477" s="110">
        <f>IF(OR(L477="",U477=""),"",IF(E477="Short",(I477-L477)*U477,(L477-I477)*U477))</f>
        <v/>
      </c>
      <c r="X477" s="110">
        <f>IF(W477="","",W477-IF(M477="",0,M477))</f>
        <v/>
      </c>
      <c r="Y477" s="111">
        <f>IF(OR(X477="",H477="",H477=0),"",X477/H477)</f>
        <v/>
      </c>
      <c r="Z477" s="112">
        <f>IF(OR(I477="",J477="",U477=""),"",ABS(I477-J477)*U477)</f>
        <v/>
      </c>
      <c r="AA477" s="113">
        <f>IF(OR(X477="",Z477="",Z477=0),"",X477/Z477)</f>
        <v/>
      </c>
      <c r="AB477" s="114">
        <f>IF(OR(I477="",J477="",K477="",I477=J477),"",ABS(K477-I477)/ABS(I477-J477))</f>
        <v/>
      </c>
      <c r="AC477" s="51">
        <f>IF(OR(B477="",D477="",H477="",I477=""),"",IF(L477="","Ouvert",IF(X477&gt;0,"Gagné",IF(X477&lt;0,"Perdu","Neutre"))))</f>
        <v/>
      </c>
      <c r="AD477" s="115">
        <f>IF(X477="","",IF(C477="",B477,C477))</f>
        <v/>
      </c>
      <c r="AE477" s="109">
        <f>IF(B477="","",WEEKDAY(B477,2))</f>
        <v/>
      </c>
      <c r="AF477" s="112">
        <f>IF(X477="","",'Paramètres'!$C$9+SUM($X$6:X477))</f>
        <v/>
      </c>
      <c r="AG477" s="112">
        <f>IF(AF477="","",MAX('Paramètres'!$C$9,MAX($AF$6:AF477)))</f>
        <v/>
      </c>
      <c r="AH477" s="116">
        <f>IF(AF477="","",AF477/AG477-1)</f>
        <v/>
      </c>
      <c r="AI477" s="109">
        <f>IF(X477="","",IF(X477&gt;0,IF(N(AI476)&gt;0,N(AI476)+1,1),IF(X477&lt;0,IF(N(AI476)&lt;0,N(AI476)-1,-1),0)))</f>
        <v/>
      </c>
      <c r="AJ477" s="116">
        <f>IF(Z477="","",IFERROR(Z477/('Paramètres'!$C$9+SUM($X$5:X476)),""))</f>
        <v/>
      </c>
      <c r="AK477" s="109">
        <f>IF(AC477="Ouvert",COUNTIF($AC$6:AC477,"Ouvert"),"")</f>
        <v/>
      </c>
    </row>
    <row r="478" ht="19" customHeight="1">
      <c r="A478" s="104">
        <f>IF(B478="","",ROW()-5)</f>
        <v/>
      </c>
      <c r="B478" s="61" t="n"/>
      <c r="C478" s="61" t="n"/>
      <c r="D478" s="105" t="n"/>
      <c r="E478" s="49" t="n"/>
      <c r="F478" s="105" t="n"/>
      <c r="G478" s="49" t="n"/>
      <c r="H478" s="106" t="n"/>
      <c r="I478" s="107" t="n"/>
      <c r="J478" s="107" t="n"/>
      <c r="K478" s="107" t="n"/>
      <c r="L478" s="107" t="n"/>
      <c r="M478" s="106" t="n"/>
      <c r="N478" s="62" t="n"/>
      <c r="O478" s="49" t="n"/>
      <c r="P478" s="49" t="n"/>
      <c r="Q478" s="105" t="n"/>
      <c r="R478" s="105" t="n"/>
      <c r="S478" s="105" t="n"/>
      <c r="T478" s="105" t="n"/>
      <c r="U478" s="108">
        <f>IF(OR(H478="",I478="",I478=0),"",H478/I478)</f>
        <v/>
      </c>
      <c r="V478" s="109">
        <f>IF(OR(B478="",C478="",L478=""),"",MAX(0,C478-B478))</f>
        <v/>
      </c>
      <c r="W478" s="110">
        <f>IF(OR(L478="",U478=""),"",IF(E478="Short",(I478-L478)*U478,(L478-I478)*U478))</f>
        <v/>
      </c>
      <c r="X478" s="110">
        <f>IF(W478="","",W478-IF(M478="",0,M478))</f>
        <v/>
      </c>
      <c r="Y478" s="111">
        <f>IF(OR(X478="",H478="",H478=0),"",X478/H478)</f>
        <v/>
      </c>
      <c r="Z478" s="112">
        <f>IF(OR(I478="",J478="",U478=""),"",ABS(I478-J478)*U478)</f>
        <v/>
      </c>
      <c r="AA478" s="113">
        <f>IF(OR(X478="",Z478="",Z478=0),"",X478/Z478)</f>
        <v/>
      </c>
      <c r="AB478" s="114">
        <f>IF(OR(I478="",J478="",K478="",I478=J478),"",ABS(K478-I478)/ABS(I478-J478))</f>
        <v/>
      </c>
      <c r="AC478" s="51">
        <f>IF(OR(B478="",D478="",H478="",I478=""),"",IF(L478="","Ouvert",IF(X478&gt;0,"Gagné",IF(X478&lt;0,"Perdu","Neutre"))))</f>
        <v/>
      </c>
      <c r="AD478" s="115">
        <f>IF(X478="","",IF(C478="",B478,C478))</f>
        <v/>
      </c>
      <c r="AE478" s="109">
        <f>IF(B478="","",WEEKDAY(B478,2))</f>
        <v/>
      </c>
      <c r="AF478" s="112">
        <f>IF(X478="","",'Paramètres'!$C$9+SUM($X$6:X478))</f>
        <v/>
      </c>
      <c r="AG478" s="112">
        <f>IF(AF478="","",MAX('Paramètres'!$C$9,MAX($AF$6:AF478)))</f>
        <v/>
      </c>
      <c r="AH478" s="116">
        <f>IF(AF478="","",AF478/AG478-1)</f>
        <v/>
      </c>
      <c r="AI478" s="109">
        <f>IF(X478="","",IF(X478&gt;0,IF(N(AI477)&gt;0,N(AI477)+1,1),IF(X478&lt;0,IF(N(AI477)&lt;0,N(AI477)-1,-1),0)))</f>
        <v/>
      </c>
      <c r="AJ478" s="116">
        <f>IF(Z478="","",IFERROR(Z478/('Paramètres'!$C$9+SUM($X$5:X477)),""))</f>
        <v/>
      </c>
      <c r="AK478" s="109">
        <f>IF(AC478="Ouvert",COUNTIF($AC$6:AC478,"Ouvert"),"")</f>
        <v/>
      </c>
    </row>
    <row r="479" ht="19" customHeight="1">
      <c r="A479" s="104">
        <f>IF(B479="","",ROW()-5)</f>
        <v/>
      </c>
      <c r="B479" s="61" t="n"/>
      <c r="C479" s="61" t="n"/>
      <c r="D479" s="105" t="n"/>
      <c r="E479" s="49" t="n"/>
      <c r="F479" s="105" t="n"/>
      <c r="G479" s="49" t="n"/>
      <c r="H479" s="106" t="n"/>
      <c r="I479" s="107" t="n"/>
      <c r="J479" s="107" t="n"/>
      <c r="K479" s="107" t="n"/>
      <c r="L479" s="107" t="n"/>
      <c r="M479" s="106" t="n"/>
      <c r="N479" s="62" t="n"/>
      <c r="O479" s="49" t="n"/>
      <c r="P479" s="49" t="n"/>
      <c r="Q479" s="105" t="n"/>
      <c r="R479" s="105" t="n"/>
      <c r="S479" s="105" t="n"/>
      <c r="T479" s="105" t="n"/>
      <c r="U479" s="108">
        <f>IF(OR(H479="",I479="",I479=0),"",H479/I479)</f>
        <v/>
      </c>
      <c r="V479" s="109">
        <f>IF(OR(B479="",C479="",L479=""),"",MAX(0,C479-B479))</f>
        <v/>
      </c>
      <c r="W479" s="110">
        <f>IF(OR(L479="",U479=""),"",IF(E479="Short",(I479-L479)*U479,(L479-I479)*U479))</f>
        <v/>
      </c>
      <c r="X479" s="110">
        <f>IF(W479="","",W479-IF(M479="",0,M479))</f>
        <v/>
      </c>
      <c r="Y479" s="111">
        <f>IF(OR(X479="",H479="",H479=0),"",X479/H479)</f>
        <v/>
      </c>
      <c r="Z479" s="112">
        <f>IF(OR(I479="",J479="",U479=""),"",ABS(I479-J479)*U479)</f>
        <v/>
      </c>
      <c r="AA479" s="113">
        <f>IF(OR(X479="",Z479="",Z479=0),"",X479/Z479)</f>
        <v/>
      </c>
      <c r="AB479" s="114">
        <f>IF(OR(I479="",J479="",K479="",I479=J479),"",ABS(K479-I479)/ABS(I479-J479))</f>
        <v/>
      </c>
      <c r="AC479" s="51">
        <f>IF(OR(B479="",D479="",H479="",I479=""),"",IF(L479="","Ouvert",IF(X479&gt;0,"Gagné",IF(X479&lt;0,"Perdu","Neutre"))))</f>
        <v/>
      </c>
      <c r="AD479" s="115">
        <f>IF(X479="","",IF(C479="",B479,C479))</f>
        <v/>
      </c>
      <c r="AE479" s="109">
        <f>IF(B479="","",WEEKDAY(B479,2))</f>
        <v/>
      </c>
      <c r="AF479" s="112">
        <f>IF(X479="","",'Paramètres'!$C$9+SUM($X$6:X479))</f>
        <v/>
      </c>
      <c r="AG479" s="112">
        <f>IF(AF479="","",MAX('Paramètres'!$C$9,MAX($AF$6:AF479)))</f>
        <v/>
      </c>
      <c r="AH479" s="116">
        <f>IF(AF479="","",AF479/AG479-1)</f>
        <v/>
      </c>
      <c r="AI479" s="109">
        <f>IF(X479="","",IF(X479&gt;0,IF(N(AI478)&gt;0,N(AI478)+1,1),IF(X479&lt;0,IF(N(AI478)&lt;0,N(AI478)-1,-1),0)))</f>
        <v/>
      </c>
      <c r="AJ479" s="116">
        <f>IF(Z479="","",IFERROR(Z479/('Paramètres'!$C$9+SUM($X$5:X478)),""))</f>
        <v/>
      </c>
      <c r="AK479" s="109">
        <f>IF(AC479="Ouvert",COUNTIF($AC$6:AC479,"Ouvert"),"")</f>
        <v/>
      </c>
    </row>
    <row r="480" ht="19" customHeight="1">
      <c r="A480" s="104">
        <f>IF(B480="","",ROW()-5)</f>
        <v/>
      </c>
      <c r="B480" s="61" t="n"/>
      <c r="C480" s="61" t="n"/>
      <c r="D480" s="105" t="n"/>
      <c r="E480" s="49" t="n"/>
      <c r="F480" s="105" t="n"/>
      <c r="G480" s="49" t="n"/>
      <c r="H480" s="106" t="n"/>
      <c r="I480" s="107" t="n"/>
      <c r="J480" s="107" t="n"/>
      <c r="K480" s="107" t="n"/>
      <c r="L480" s="107" t="n"/>
      <c r="M480" s="106" t="n"/>
      <c r="N480" s="62" t="n"/>
      <c r="O480" s="49" t="n"/>
      <c r="P480" s="49" t="n"/>
      <c r="Q480" s="105" t="n"/>
      <c r="R480" s="105" t="n"/>
      <c r="S480" s="105" t="n"/>
      <c r="T480" s="105" t="n"/>
      <c r="U480" s="108">
        <f>IF(OR(H480="",I480="",I480=0),"",H480/I480)</f>
        <v/>
      </c>
      <c r="V480" s="109">
        <f>IF(OR(B480="",C480="",L480=""),"",MAX(0,C480-B480))</f>
        <v/>
      </c>
      <c r="W480" s="110">
        <f>IF(OR(L480="",U480=""),"",IF(E480="Short",(I480-L480)*U480,(L480-I480)*U480))</f>
        <v/>
      </c>
      <c r="X480" s="110">
        <f>IF(W480="","",W480-IF(M480="",0,M480))</f>
        <v/>
      </c>
      <c r="Y480" s="111">
        <f>IF(OR(X480="",H480="",H480=0),"",X480/H480)</f>
        <v/>
      </c>
      <c r="Z480" s="112">
        <f>IF(OR(I480="",J480="",U480=""),"",ABS(I480-J480)*U480)</f>
        <v/>
      </c>
      <c r="AA480" s="113">
        <f>IF(OR(X480="",Z480="",Z480=0),"",X480/Z480)</f>
        <v/>
      </c>
      <c r="AB480" s="114">
        <f>IF(OR(I480="",J480="",K480="",I480=J480),"",ABS(K480-I480)/ABS(I480-J480))</f>
        <v/>
      </c>
      <c r="AC480" s="51">
        <f>IF(OR(B480="",D480="",H480="",I480=""),"",IF(L480="","Ouvert",IF(X480&gt;0,"Gagné",IF(X480&lt;0,"Perdu","Neutre"))))</f>
        <v/>
      </c>
      <c r="AD480" s="115">
        <f>IF(X480="","",IF(C480="",B480,C480))</f>
        <v/>
      </c>
      <c r="AE480" s="109">
        <f>IF(B480="","",WEEKDAY(B480,2))</f>
        <v/>
      </c>
      <c r="AF480" s="112">
        <f>IF(X480="","",'Paramètres'!$C$9+SUM($X$6:X480))</f>
        <v/>
      </c>
      <c r="AG480" s="112">
        <f>IF(AF480="","",MAX('Paramètres'!$C$9,MAX($AF$6:AF480)))</f>
        <v/>
      </c>
      <c r="AH480" s="116">
        <f>IF(AF480="","",AF480/AG480-1)</f>
        <v/>
      </c>
      <c r="AI480" s="109">
        <f>IF(X480="","",IF(X480&gt;0,IF(N(AI479)&gt;0,N(AI479)+1,1),IF(X480&lt;0,IF(N(AI479)&lt;0,N(AI479)-1,-1),0)))</f>
        <v/>
      </c>
      <c r="AJ480" s="116">
        <f>IF(Z480="","",IFERROR(Z480/('Paramètres'!$C$9+SUM($X$5:X479)),""))</f>
        <v/>
      </c>
      <c r="AK480" s="109">
        <f>IF(AC480="Ouvert",COUNTIF($AC$6:AC480,"Ouvert"),"")</f>
        <v/>
      </c>
    </row>
    <row r="481" ht="19" customHeight="1">
      <c r="A481" s="104">
        <f>IF(B481="","",ROW()-5)</f>
        <v/>
      </c>
      <c r="B481" s="61" t="n"/>
      <c r="C481" s="61" t="n"/>
      <c r="D481" s="105" t="n"/>
      <c r="E481" s="49" t="n"/>
      <c r="F481" s="105" t="n"/>
      <c r="G481" s="49" t="n"/>
      <c r="H481" s="106" t="n"/>
      <c r="I481" s="107" t="n"/>
      <c r="J481" s="107" t="n"/>
      <c r="K481" s="107" t="n"/>
      <c r="L481" s="107" t="n"/>
      <c r="M481" s="106" t="n"/>
      <c r="N481" s="62" t="n"/>
      <c r="O481" s="49" t="n"/>
      <c r="P481" s="49" t="n"/>
      <c r="Q481" s="105" t="n"/>
      <c r="R481" s="105" t="n"/>
      <c r="S481" s="105" t="n"/>
      <c r="T481" s="105" t="n"/>
      <c r="U481" s="108">
        <f>IF(OR(H481="",I481="",I481=0),"",H481/I481)</f>
        <v/>
      </c>
      <c r="V481" s="109">
        <f>IF(OR(B481="",C481="",L481=""),"",MAX(0,C481-B481))</f>
        <v/>
      </c>
      <c r="W481" s="110">
        <f>IF(OR(L481="",U481=""),"",IF(E481="Short",(I481-L481)*U481,(L481-I481)*U481))</f>
        <v/>
      </c>
      <c r="X481" s="110">
        <f>IF(W481="","",W481-IF(M481="",0,M481))</f>
        <v/>
      </c>
      <c r="Y481" s="111">
        <f>IF(OR(X481="",H481="",H481=0),"",X481/H481)</f>
        <v/>
      </c>
      <c r="Z481" s="112">
        <f>IF(OR(I481="",J481="",U481=""),"",ABS(I481-J481)*U481)</f>
        <v/>
      </c>
      <c r="AA481" s="113">
        <f>IF(OR(X481="",Z481="",Z481=0),"",X481/Z481)</f>
        <v/>
      </c>
      <c r="AB481" s="114">
        <f>IF(OR(I481="",J481="",K481="",I481=J481),"",ABS(K481-I481)/ABS(I481-J481))</f>
        <v/>
      </c>
      <c r="AC481" s="51">
        <f>IF(OR(B481="",D481="",H481="",I481=""),"",IF(L481="","Ouvert",IF(X481&gt;0,"Gagné",IF(X481&lt;0,"Perdu","Neutre"))))</f>
        <v/>
      </c>
      <c r="AD481" s="115">
        <f>IF(X481="","",IF(C481="",B481,C481))</f>
        <v/>
      </c>
      <c r="AE481" s="109">
        <f>IF(B481="","",WEEKDAY(B481,2))</f>
        <v/>
      </c>
      <c r="AF481" s="112">
        <f>IF(X481="","",'Paramètres'!$C$9+SUM($X$6:X481))</f>
        <v/>
      </c>
      <c r="AG481" s="112">
        <f>IF(AF481="","",MAX('Paramètres'!$C$9,MAX($AF$6:AF481)))</f>
        <v/>
      </c>
      <c r="AH481" s="116">
        <f>IF(AF481="","",AF481/AG481-1)</f>
        <v/>
      </c>
      <c r="AI481" s="109">
        <f>IF(X481="","",IF(X481&gt;0,IF(N(AI480)&gt;0,N(AI480)+1,1),IF(X481&lt;0,IF(N(AI480)&lt;0,N(AI480)-1,-1),0)))</f>
        <v/>
      </c>
      <c r="AJ481" s="116">
        <f>IF(Z481="","",IFERROR(Z481/('Paramètres'!$C$9+SUM($X$5:X480)),""))</f>
        <v/>
      </c>
      <c r="AK481" s="109">
        <f>IF(AC481="Ouvert",COUNTIF($AC$6:AC481,"Ouvert"),"")</f>
        <v/>
      </c>
    </row>
    <row r="482" ht="19" customHeight="1">
      <c r="A482" s="104">
        <f>IF(B482="","",ROW()-5)</f>
        <v/>
      </c>
      <c r="B482" s="61" t="n"/>
      <c r="C482" s="61" t="n"/>
      <c r="D482" s="105" t="n"/>
      <c r="E482" s="49" t="n"/>
      <c r="F482" s="105" t="n"/>
      <c r="G482" s="49" t="n"/>
      <c r="H482" s="106" t="n"/>
      <c r="I482" s="107" t="n"/>
      <c r="J482" s="107" t="n"/>
      <c r="K482" s="107" t="n"/>
      <c r="L482" s="107" t="n"/>
      <c r="M482" s="106" t="n"/>
      <c r="N482" s="62" t="n"/>
      <c r="O482" s="49" t="n"/>
      <c r="P482" s="49" t="n"/>
      <c r="Q482" s="105" t="n"/>
      <c r="R482" s="105" t="n"/>
      <c r="S482" s="105" t="n"/>
      <c r="T482" s="105" t="n"/>
      <c r="U482" s="108">
        <f>IF(OR(H482="",I482="",I482=0),"",H482/I482)</f>
        <v/>
      </c>
      <c r="V482" s="109">
        <f>IF(OR(B482="",C482="",L482=""),"",MAX(0,C482-B482))</f>
        <v/>
      </c>
      <c r="W482" s="110">
        <f>IF(OR(L482="",U482=""),"",IF(E482="Short",(I482-L482)*U482,(L482-I482)*U482))</f>
        <v/>
      </c>
      <c r="X482" s="110">
        <f>IF(W482="","",W482-IF(M482="",0,M482))</f>
        <v/>
      </c>
      <c r="Y482" s="111">
        <f>IF(OR(X482="",H482="",H482=0),"",X482/H482)</f>
        <v/>
      </c>
      <c r="Z482" s="112">
        <f>IF(OR(I482="",J482="",U482=""),"",ABS(I482-J482)*U482)</f>
        <v/>
      </c>
      <c r="AA482" s="113">
        <f>IF(OR(X482="",Z482="",Z482=0),"",X482/Z482)</f>
        <v/>
      </c>
      <c r="AB482" s="114">
        <f>IF(OR(I482="",J482="",K482="",I482=J482),"",ABS(K482-I482)/ABS(I482-J482))</f>
        <v/>
      </c>
      <c r="AC482" s="51">
        <f>IF(OR(B482="",D482="",H482="",I482=""),"",IF(L482="","Ouvert",IF(X482&gt;0,"Gagné",IF(X482&lt;0,"Perdu","Neutre"))))</f>
        <v/>
      </c>
      <c r="AD482" s="115">
        <f>IF(X482="","",IF(C482="",B482,C482))</f>
        <v/>
      </c>
      <c r="AE482" s="109">
        <f>IF(B482="","",WEEKDAY(B482,2))</f>
        <v/>
      </c>
      <c r="AF482" s="112">
        <f>IF(X482="","",'Paramètres'!$C$9+SUM($X$6:X482))</f>
        <v/>
      </c>
      <c r="AG482" s="112">
        <f>IF(AF482="","",MAX('Paramètres'!$C$9,MAX($AF$6:AF482)))</f>
        <v/>
      </c>
      <c r="AH482" s="116">
        <f>IF(AF482="","",AF482/AG482-1)</f>
        <v/>
      </c>
      <c r="AI482" s="109">
        <f>IF(X482="","",IF(X482&gt;0,IF(N(AI481)&gt;0,N(AI481)+1,1),IF(X482&lt;0,IF(N(AI481)&lt;0,N(AI481)-1,-1),0)))</f>
        <v/>
      </c>
      <c r="AJ482" s="116">
        <f>IF(Z482="","",IFERROR(Z482/('Paramètres'!$C$9+SUM($X$5:X481)),""))</f>
        <v/>
      </c>
      <c r="AK482" s="109">
        <f>IF(AC482="Ouvert",COUNTIF($AC$6:AC482,"Ouvert"),"")</f>
        <v/>
      </c>
    </row>
    <row r="483" ht="19" customHeight="1">
      <c r="A483" s="104">
        <f>IF(B483="","",ROW()-5)</f>
        <v/>
      </c>
      <c r="B483" s="61" t="n"/>
      <c r="C483" s="61" t="n"/>
      <c r="D483" s="105" t="n"/>
      <c r="E483" s="49" t="n"/>
      <c r="F483" s="105" t="n"/>
      <c r="G483" s="49" t="n"/>
      <c r="H483" s="106" t="n"/>
      <c r="I483" s="107" t="n"/>
      <c r="J483" s="107" t="n"/>
      <c r="K483" s="107" t="n"/>
      <c r="L483" s="107" t="n"/>
      <c r="M483" s="106" t="n"/>
      <c r="N483" s="62" t="n"/>
      <c r="O483" s="49" t="n"/>
      <c r="P483" s="49" t="n"/>
      <c r="Q483" s="105" t="n"/>
      <c r="R483" s="105" t="n"/>
      <c r="S483" s="105" t="n"/>
      <c r="T483" s="105" t="n"/>
      <c r="U483" s="108">
        <f>IF(OR(H483="",I483="",I483=0),"",H483/I483)</f>
        <v/>
      </c>
      <c r="V483" s="109">
        <f>IF(OR(B483="",C483="",L483=""),"",MAX(0,C483-B483))</f>
        <v/>
      </c>
      <c r="W483" s="110">
        <f>IF(OR(L483="",U483=""),"",IF(E483="Short",(I483-L483)*U483,(L483-I483)*U483))</f>
        <v/>
      </c>
      <c r="X483" s="110">
        <f>IF(W483="","",W483-IF(M483="",0,M483))</f>
        <v/>
      </c>
      <c r="Y483" s="111">
        <f>IF(OR(X483="",H483="",H483=0),"",X483/H483)</f>
        <v/>
      </c>
      <c r="Z483" s="112">
        <f>IF(OR(I483="",J483="",U483=""),"",ABS(I483-J483)*U483)</f>
        <v/>
      </c>
      <c r="AA483" s="113">
        <f>IF(OR(X483="",Z483="",Z483=0),"",X483/Z483)</f>
        <v/>
      </c>
      <c r="AB483" s="114">
        <f>IF(OR(I483="",J483="",K483="",I483=J483),"",ABS(K483-I483)/ABS(I483-J483))</f>
        <v/>
      </c>
      <c r="AC483" s="51">
        <f>IF(OR(B483="",D483="",H483="",I483=""),"",IF(L483="","Ouvert",IF(X483&gt;0,"Gagné",IF(X483&lt;0,"Perdu","Neutre"))))</f>
        <v/>
      </c>
      <c r="AD483" s="115">
        <f>IF(X483="","",IF(C483="",B483,C483))</f>
        <v/>
      </c>
      <c r="AE483" s="109">
        <f>IF(B483="","",WEEKDAY(B483,2))</f>
        <v/>
      </c>
      <c r="AF483" s="112">
        <f>IF(X483="","",'Paramètres'!$C$9+SUM($X$6:X483))</f>
        <v/>
      </c>
      <c r="AG483" s="112">
        <f>IF(AF483="","",MAX('Paramètres'!$C$9,MAX($AF$6:AF483)))</f>
        <v/>
      </c>
      <c r="AH483" s="116">
        <f>IF(AF483="","",AF483/AG483-1)</f>
        <v/>
      </c>
      <c r="AI483" s="109">
        <f>IF(X483="","",IF(X483&gt;0,IF(N(AI482)&gt;0,N(AI482)+1,1),IF(X483&lt;0,IF(N(AI482)&lt;0,N(AI482)-1,-1),0)))</f>
        <v/>
      </c>
      <c r="AJ483" s="116">
        <f>IF(Z483="","",IFERROR(Z483/('Paramètres'!$C$9+SUM($X$5:X482)),""))</f>
        <v/>
      </c>
      <c r="AK483" s="109">
        <f>IF(AC483="Ouvert",COUNTIF($AC$6:AC483,"Ouvert"),"")</f>
        <v/>
      </c>
    </row>
    <row r="484" ht="19" customHeight="1">
      <c r="A484" s="104">
        <f>IF(B484="","",ROW()-5)</f>
        <v/>
      </c>
      <c r="B484" s="61" t="n"/>
      <c r="C484" s="61" t="n"/>
      <c r="D484" s="105" t="n"/>
      <c r="E484" s="49" t="n"/>
      <c r="F484" s="105" t="n"/>
      <c r="G484" s="49" t="n"/>
      <c r="H484" s="106" t="n"/>
      <c r="I484" s="107" t="n"/>
      <c r="J484" s="107" t="n"/>
      <c r="K484" s="107" t="n"/>
      <c r="L484" s="107" t="n"/>
      <c r="M484" s="106" t="n"/>
      <c r="N484" s="62" t="n"/>
      <c r="O484" s="49" t="n"/>
      <c r="P484" s="49" t="n"/>
      <c r="Q484" s="105" t="n"/>
      <c r="R484" s="105" t="n"/>
      <c r="S484" s="105" t="n"/>
      <c r="T484" s="105" t="n"/>
      <c r="U484" s="108">
        <f>IF(OR(H484="",I484="",I484=0),"",H484/I484)</f>
        <v/>
      </c>
      <c r="V484" s="109">
        <f>IF(OR(B484="",C484="",L484=""),"",MAX(0,C484-B484))</f>
        <v/>
      </c>
      <c r="W484" s="110">
        <f>IF(OR(L484="",U484=""),"",IF(E484="Short",(I484-L484)*U484,(L484-I484)*U484))</f>
        <v/>
      </c>
      <c r="X484" s="110">
        <f>IF(W484="","",W484-IF(M484="",0,M484))</f>
        <v/>
      </c>
      <c r="Y484" s="111">
        <f>IF(OR(X484="",H484="",H484=0),"",X484/H484)</f>
        <v/>
      </c>
      <c r="Z484" s="112">
        <f>IF(OR(I484="",J484="",U484=""),"",ABS(I484-J484)*U484)</f>
        <v/>
      </c>
      <c r="AA484" s="113">
        <f>IF(OR(X484="",Z484="",Z484=0),"",X484/Z484)</f>
        <v/>
      </c>
      <c r="AB484" s="114">
        <f>IF(OR(I484="",J484="",K484="",I484=J484),"",ABS(K484-I484)/ABS(I484-J484))</f>
        <v/>
      </c>
      <c r="AC484" s="51">
        <f>IF(OR(B484="",D484="",H484="",I484=""),"",IF(L484="","Ouvert",IF(X484&gt;0,"Gagné",IF(X484&lt;0,"Perdu","Neutre"))))</f>
        <v/>
      </c>
      <c r="AD484" s="115">
        <f>IF(X484="","",IF(C484="",B484,C484))</f>
        <v/>
      </c>
      <c r="AE484" s="109">
        <f>IF(B484="","",WEEKDAY(B484,2))</f>
        <v/>
      </c>
      <c r="AF484" s="112">
        <f>IF(X484="","",'Paramètres'!$C$9+SUM($X$6:X484))</f>
        <v/>
      </c>
      <c r="AG484" s="112">
        <f>IF(AF484="","",MAX('Paramètres'!$C$9,MAX($AF$6:AF484)))</f>
        <v/>
      </c>
      <c r="AH484" s="116">
        <f>IF(AF484="","",AF484/AG484-1)</f>
        <v/>
      </c>
      <c r="AI484" s="109">
        <f>IF(X484="","",IF(X484&gt;0,IF(N(AI483)&gt;0,N(AI483)+1,1),IF(X484&lt;0,IF(N(AI483)&lt;0,N(AI483)-1,-1),0)))</f>
        <v/>
      </c>
      <c r="AJ484" s="116">
        <f>IF(Z484="","",IFERROR(Z484/('Paramètres'!$C$9+SUM($X$5:X483)),""))</f>
        <v/>
      </c>
      <c r="AK484" s="109">
        <f>IF(AC484="Ouvert",COUNTIF($AC$6:AC484,"Ouvert"),"")</f>
        <v/>
      </c>
    </row>
    <row r="485" ht="19" customHeight="1">
      <c r="A485" s="104">
        <f>IF(B485="","",ROW()-5)</f>
        <v/>
      </c>
      <c r="B485" s="61" t="n"/>
      <c r="C485" s="61" t="n"/>
      <c r="D485" s="105" t="n"/>
      <c r="E485" s="49" t="n"/>
      <c r="F485" s="105" t="n"/>
      <c r="G485" s="49" t="n"/>
      <c r="H485" s="106" t="n"/>
      <c r="I485" s="107" t="n"/>
      <c r="J485" s="107" t="n"/>
      <c r="K485" s="107" t="n"/>
      <c r="L485" s="107" t="n"/>
      <c r="M485" s="106" t="n"/>
      <c r="N485" s="62" t="n"/>
      <c r="O485" s="49" t="n"/>
      <c r="P485" s="49" t="n"/>
      <c r="Q485" s="105" t="n"/>
      <c r="R485" s="105" t="n"/>
      <c r="S485" s="105" t="n"/>
      <c r="T485" s="105" t="n"/>
      <c r="U485" s="108">
        <f>IF(OR(H485="",I485="",I485=0),"",H485/I485)</f>
        <v/>
      </c>
      <c r="V485" s="109">
        <f>IF(OR(B485="",C485="",L485=""),"",MAX(0,C485-B485))</f>
        <v/>
      </c>
      <c r="W485" s="110">
        <f>IF(OR(L485="",U485=""),"",IF(E485="Short",(I485-L485)*U485,(L485-I485)*U485))</f>
        <v/>
      </c>
      <c r="X485" s="110">
        <f>IF(W485="","",W485-IF(M485="",0,M485))</f>
        <v/>
      </c>
      <c r="Y485" s="111">
        <f>IF(OR(X485="",H485="",H485=0),"",X485/H485)</f>
        <v/>
      </c>
      <c r="Z485" s="112">
        <f>IF(OR(I485="",J485="",U485=""),"",ABS(I485-J485)*U485)</f>
        <v/>
      </c>
      <c r="AA485" s="113">
        <f>IF(OR(X485="",Z485="",Z485=0),"",X485/Z485)</f>
        <v/>
      </c>
      <c r="AB485" s="114">
        <f>IF(OR(I485="",J485="",K485="",I485=J485),"",ABS(K485-I485)/ABS(I485-J485))</f>
        <v/>
      </c>
      <c r="AC485" s="51">
        <f>IF(OR(B485="",D485="",H485="",I485=""),"",IF(L485="","Ouvert",IF(X485&gt;0,"Gagné",IF(X485&lt;0,"Perdu","Neutre"))))</f>
        <v/>
      </c>
      <c r="AD485" s="115">
        <f>IF(X485="","",IF(C485="",B485,C485))</f>
        <v/>
      </c>
      <c r="AE485" s="109">
        <f>IF(B485="","",WEEKDAY(B485,2))</f>
        <v/>
      </c>
      <c r="AF485" s="112">
        <f>IF(X485="","",'Paramètres'!$C$9+SUM($X$6:X485))</f>
        <v/>
      </c>
      <c r="AG485" s="112">
        <f>IF(AF485="","",MAX('Paramètres'!$C$9,MAX($AF$6:AF485)))</f>
        <v/>
      </c>
      <c r="AH485" s="116">
        <f>IF(AF485="","",AF485/AG485-1)</f>
        <v/>
      </c>
      <c r="AI485" s="109">
        <f>IF(X485="","",IF(X485&gt;0,IF(N(AI484)&gt;0,N(AI484)+1,1),IF(X485&lt;0,IF(N(AI484)&lt;0,N(AI484)-1,-1),0)))</f>
        <v/>
      </c>
      <c r="AJ485" s="116">
        <f>IF(Z485="","",IFERROR(Z485/('Paramètres'!$C$9+SUM($X$5:X484)),""))</f>
        <v/>
      </c>
      <c r="AK485" s="109">
        <f>IF(AC485="Ouvert",COUNTIF($AC$6:AC485,"Ouvert"),"")</f>
        <v/>
      </c>
    </row>
    <row r="486" ht="19" customHeight="1">
      <c r="A486" s="104">
        <f>IF(B486="","",ROW()-5)</f>
        <v/>
      </c>
      <c r="B486" s="61" t="n"/>
      <c r="C486" s="61" t="n"/>
      <c r="D486" s="105" t="n"/>
      <c r="E486" s="49" t="n"/>
      <c r="F486" s="105" t="n"/>
      <c r="G486" s="49" t="n"/>
      <c r="H486" s="106" t="n"/>
      <c r="I486" s="107" t="n"/>
      <c r="J486" s="107" t="n"/>
      <c r="K486" s="107" t="n"/>
      <c r="L486" s="107" t="n"/>
      <c r="M486" s="106" t="n"/>
      <c r="N486" s="62" t="n"/>
      <c r="O486" s="49" t="n"/>
      <c r="P486" s="49" t="n"/>
      <c r="Q486" s="105" t="n"/>
      <c r="R486" s="105" t="n"/>
      <c r="S486" s="105" t="n"/>
      <c r="T486" s="105" t="n"/>
      <c r="U486" s="108">
        <f>IF(OR(H486="",I486="",I486=0),"",H486/I486)</f>
        <v/>
      </c>
      <c r="V486" s="109">
        <f>IF(OR(B486="",C486="",L486=""),"",MAX(0,C486-B486))</f>
        <v/>
      </c>
      <c r="W486" s="110">
        <f>IF(OR(L486="",U486=""),"",IF(E486="Short",(I486-L486)*U486,(L486-I486)*U486))</f>
        <v/>
      </c>
      <c r="X486" s="110">
        <f>IF(W486="","",W486-IF(M486="",0,M486))</f>
        <v/>
      </c>
      <c r="Y486" s="111">
        <f>IF(OR(X486="",H486="",H486=0),"",X486/H486)</f>
        <v/>
      </c>
      <c r="Z486" s="112">
        <f>IF(OR(I486="",J486="",U486=""),"",ABS(I486-J486)*U486)</f>
        <v/>
      </c>
      <c r="AA486" s="113">
        <f>IF(OR(X486="",Z486="",Z486=0),"",X486/Z486)</f>
        <v/>
      </c>
      <c r="AB486" s="114">
        <f>IF(OR(I486="",J486="",K486="",I486=J486),"",ABS(K486-I486)/ABS(I486-J486))</f>
        <v/>
      </c>
      <c r="AC486" s="51">
        <f>IF(OR(B486="",D486="",H486="",I486=""),"",IF(L486="","Ouvert",IF(X486&gt;0,"Gagné",IF(X486&lt;0,"Perdu","Neutre"))))</f>
        <v/>
      </c>
      <c r="AD486" s="115">
        <f>IF(X486="","",IF(C486="",B486,C486))</f>
        <v/>
      </c>
      <c r="AE486" s="109">
        <f>IF(B486="","",WEEKDAY(B486,2))</f>
        <v/>
      </c>
      <c r="AF486" s="112">
        <f>IF(X486="","",'Paramètres'!$C$9+SUM($X$6:X486))</f>
        <v/>
      </c>
      <c r="AG486" s="112">
        <f>IF(AF486="","",MAX('Paramètres'!$C$9,MAX($AF$6:AF486)))</f>
        <v/>
      </c>
      <c r="AH486" s="116">
        <f>IF(AF486="","",AF486/AG486-1)</f>
        <v/>
      </c>
      <c r="AI486" s="109">
        <f>IF(X486="","",IF(X486&gt;0,IF(N(AI485)&gt;0,N(AI485)+1,1),IF(X486&lt;0,IF(N(AI485)&lt;0,N(AI485)-1,-1),0)))</f>
        <v/>
      </c>
      <c r="AJ486" s="116">
        <f>IF(Z486="","",IFERROR(Z486/('Paramètres'!$C$9+SUM($X$5:X485)),""))</f>
        <v/>
      </c>
      <c r="AK486" s="109">
        <f>IF(AC486="Ouvert",COUNTIF($AC$6:AC486,"Ouvert"),"")</f>
        <v/>
      </c>
    </row>
    <row r="487" ht="19" customHeight="1">
      <c r="A487" s="104">
        <f>IF(B487="","",ROW()-5)</f>
        <v/>
      </c>
      <c r="B487" s="61" t="n"/>
      <c r="C487" s="61" t="n"/>
      <c r="D487" s="105" t="n"/>
      <c r="E487" s="49" t="n"/>
      <c r="F487" s="105" t="n"/>
      <c r="G487" s="49" t="n"/>
      <c r="H487" s="106" t="n"/>
      <c r="I487" s="107" t="n"/>
      <c r="J487" s="107" t="n"/>
      <c r="K487" s="107" t="n"/>
      <c r="L487" s="107" t="n"/>
      <c r="M487" s="106" t="n"/>
      <c r="N487" s="62" t="n"/>
      <c r="O487" s="49" t="n"/>
      <c r="P487" s="49" t="n"/>
      <c r="Q487" s="105" t="n"/>
      <c r="R487" s="105" t="n"/>
      <c r="S487" s="105" t="n"/>
      <c r="T487" s="105" t="n"/>
      <c r="U487" s="108">
        <f>IF(OR(H487="",I487="",I487=0),"",H487/I487)</f>
        <v/>
      </c>
      <c r="V487" s="109">
        <f>IF(OR(B487="",C487="",L487=""),"",MAX(0,C487-B487))</f>
        <v/>
      </c>
      <c r="W487" s="110">
        <f>IF(OR(L487="",U487=""),"",IF(E487="Short",(I487-L487)*U487,(L487-I487)*U487))</f>
        <v/>
      </c>
      <c r="X487" s="110">
        <f>IF(W487="","",W487-IF(M487="",0,M487))</f>
        <v/>
      </c>
      <c r="Y487" s="111">
        <f>IF(OR(X487="",H487="",H487=0),"",X487/H487)</f>
        <v/>
      </c>
      <c r="Z487" s="112">
        <f>IF(OR(I487="",J487="",U487=""),"",ABS(I487-J487)*U487)</f>
        <v/>
      </c>
      <c r="AA487" s="113">
        <f>IF(OR(X487="",Z487="",Z487=0),"",X487/Z487)</f>
        <v/>
      </c>
      <c r="AB487" s="114">
        <f>IF(OR(I487="",J487="",K487="",I487=J487),"",ABS(K487-I487)/ABS(I487-J487))</f>
        <v/>
      </c>
      <c r="AC487" s="51">
        <f>IF(OR(B487="",D487="",H487="",I487=""),"",IF(L487="","Ouvert",IF(X487&gt;0,"Gagné",IF(X487&lt;0,"Perdu","Neutre"))))</f>
        <v/>
      </c>
      <c r="AD487" s="115">
        <f>IF(X487="","",IF(C487="",B487,C487))</f>
        <v/>
      </c>
      <c r="AE487" s="109">
        <f>IF(B487="","",WEEKDAY(B487,2))</f>
        <v/>
      </c>
      <c r="AF487" s="112">
        <f>IF(X487="","",'Paramètres'!$C$9+SUM($X$6:X487))</f>
        <v/>
      </c>
      <c r="AG487" s="112">
        <f>IF(AF487="","",MAX('Paramètres'!$C$9,MAX($AF$6:AF487)))</f>
        <v/>
      </c>
      <c r="AH487" s="116">
        <f>IF(AF487="","",AF487/AG487-1)</f>
        <v/>
      </c>
      <c r="AI487" s="109">
        <f>IF(X487="","",IF(X487&gt;0,IF(N(AI486)&gt;0,N(AI486)+1,1),IF(X487&lt;0,IF(N(AI486)&lt;0,N(AI486)-1,-1),0)))</f>
        <v/>
      </c>
      <c r="AJ487" s="116">
        <f>IF(Z487="","",IFERROR(Z487/('Paramètres'!$C$9+SUM($X$5:X486)),""))</f>
        <v/>
      </c>
      <c r="AK487" s="109">
        <f>IF(AC487="Ouvert",COUNTIF($AC$6:AC487,"Ouvert"),"")</f>
        <v/>
      </c>
    </row>
    <row r="488" ht="19" customHeight="1">
      <c r="A488" s="104">
        <f>IF(B488="","",ROW()-5)</f>
        <v/>
      </c>
      <c r="B488" s="61" t="n"/>
      <c r="C488" s="61" t="n"/>
      <c r="D488" s="105" t="n"/>
      <c r="E488" s="49" t="n"/>
      <c r="F488" s="105" t="n"/>
      <c r="G488" s="49" t="n"/>
      <c r="H488" s="106" t="n"/>
      <c r="I488" s="107" t="n"/>
      <c r="J488" s="107" t="n"/>
      <c r="K488" s="107" t="n"/>
      <c r="L488" s="107" t="n"/>
      <c r="M488" s="106" t="n"/>
      <c r="N488" s="62" t="n"/>
      <c r="O488" s="49" t="n"/>
      <c r="P488" s="49" t="n"/>
      <c r="Q488" s="105" t="n"/>
      <c r="R488" s="105" t="n"/>
      <c r="S488" s="105" t="n"/>
      <c r="T488" s="105" t="n"/>
      <c r="U488" s="108">
        <f>IF(OR(H488="",I488="",I488=0),"",H488/I488)</f>
        <v/>
      </c>
      <c r="V488" s="109">
        <f>IF(OR(B488="",C488="",L488=""),"",MAX(0,C488-B488))</f>
        <v/>
      </c>
      <c r="W488" s="110">
        <f>IF(OR(L488="",U488=""),"",IF(E488="Short",(I488-L488)*U488,(L488-I488)*U488))</f>
        <v/>
      </c>
      <c r="X488" s="110">
        <f>IF(W488="","",W488-IF(M488="",0,M488))</f>
        <v/>
      </c>
      <c r="Y488" s="111">
        <f>IF(OR(X488="",H488="",H488=0),"",X488/H488)</f>
        <v/>
      </c>
      <c r="Z488" s="112">
        <f>IF(OR(I488="",J488="",U488=""),"",ABS(I488-J488)*U488)</f>
        <v/>
      </c>
      <c r="AA488" s="113">
        <f>IF(OR(X488="",Z488="",Z488=0),"",X488/Z488)</f>
        <v/>
      </c>
      <c r="AB488" s="114">
        <f>IF(OR(I488="",J488="",K488="",I488=J488),"",ABS(K488-I488)/ABS(I488-J488))</f>
        <v/>
      </c>
      <c r="AC488" s="51">
        <f>IF(OR(B488="",D488="",H488="",I488=""),"",IF(L488="","Ouvert",IF(X488&gt;0,"Gagné",IF(X488&lt;0,"Perdu","Neutre"))))</f>
        <v/>
      </c>
      <c r="AD488" s="115">
        <f>IF(X488="","",IF(C488="",B488,C488))</f>
        <v/>
      </c>
      <c r="AE488" s="109">
        <f>IF(B488="","",WEEKDAY(B488,2))</f>
        <v/>
      </c>
      <c r="AF488" s="112">
        <f>IF(X488="","",'Paramètres'!$C$9+SUM($X$6:X488))</f>
        <v/>
      </c>
      <c r="AG488" s="112">
        <f>IF(AF488="","",MAX('Paramètres'!$C$9,MAX($AF$6:AF488)))</f>
        <v/>
      </c>
      <c r="AH488" s="116">
        <f>IF(AF488="","",AF488/AG488-1)</f>
        <v/>
      </c>
      <c r="AI488" s="109">
        <f>IF(X488="","",IF(X488&gt;0,IF(N(AI487)&gt;0,N(AI487)+1,1),IF(X488&lt;0,IF(N(AI487)&lt;0,N(AI487)-1,-1),0)))</f>
        <v/>
      </c>
      <c r="AJ488" s="116">
        <f>IF(Z488="","",IFERROR(Z488/('Paramètres'!$C$9+SUM($X$5:X487)),""))</f>
        <v/>
      </c>
      <c r="AK488" s="109">
        <f>IF(AC488="Ouvert",COUNTIF($AC$6:AC488,"Ouvert"),"")</f>
        <v/>
      </c>
    </row>
    <row r="489" ht="19" customHeight="1">
      <c r="A489" s="104">
        <f>IF(B489="","",ROW()-5)</f>
        <v/>
      </c>
      <c r="B489" s="61" t="n"/>
      <c r="C489" s="61" t="n"/>
      <c r="D489" s="105" t="n"/>
      <c r="E489" s="49" t="n"/>
      <c r="F489" s="105" t="n"/>
      <c r="G489" s="49" t="n"/>
      <c r="H489" s="106" t="n"/>
      <c r="I489" s="107" t="n"/>
      <c r="J489" s="107" t="n"/>
      <c r="K489" s="107" t="n"/>
      <c r="L489" s="107" t="n"/>
      <c r="M489" s="106" t="n"/>
      <c r="N489" s="62" t="n"/>
      <c r="O489" s="49" t="n"/>
      <c r="P489" s="49" t="n"/>
      <c r="Q489" s="105" t="n"/>
      <c r="R489" s="105" t="n"/>
      <c r="S489" s="105" t="n"/>
      <c r="T489" s="105" t="n"/>
      <c r="U489" s="108">
        <f>IF(OR(H489="",I489="",I489=0),"",H489/I489)</f>
        <v/>
      </c>
      <c r="V489" s="109">
        <f>IF(OR(B489="",C489="",L489=""),"",MAX(0,C489-B489))</f>
        <v/>
      </c>
      <c r="W489" s="110">
        <f>IF(OR(L489="",U489=""),"",IF(E489="Short",(I489-L489)*U489,(L489-I489)*U489))</f>
        <v/>
      </c>
      <c r="X489" s="110">
        <f>IF(W489="","",W489-IF(M489="",0,M489))</f>
        <v/>
      </c>
      <c r="Y489" s="111">
        <f>IF(OR(X489="",H489="",H489=0),"",X489/H489)</f>
        <v/>
      </c>
      <c r="Z489" s="112">
        <f>IF(OR(I489="",J489="",U489=""),"",ABS(I489-J489)*U489)</f>
        <v/>
      </c>
      <c r="AA489" s="113">
        <f>IF(OR(X489="",Z489="",Z489=0),"",X489/Z489)</f>
        <v/>
      </c>
      <c r="AB489" s="114">
        <f>IF(OR(I489="",J489="",K489="",I489=J489),"",ABS(K489-I489)/ABS(I489-J489))</f>
        <v/>
      </c>
      <c r="AC489" s="51">
        <f>IF(OR(B489="",D489="",H489="",I489=""),"",IF(L489="","Ouvert",IF(X489&gt;0,"Gagné",IF(X489&lt;0,"Perdu","Neutre"))))</f>
        <v/>
      </c>
      <c r="AD489" s="115">
        <f>IF(X489="","",IF(C489="",B489,C489))</f>
        <v/>
      </c>
      <c r="AE489" s="109">
        <f>IF(B489="","",WEEKDAY(B489,2))</f>
        <v/>
      </c>
      <c r="AF489" s="112">
        <f>IF(X489="","",'Paramètres'!$C$9+SUM($X$6:X489))</f>
        <v/>
      </c>
      <c r="AG489" s="112">
        <f>IF(AF489="","",MAX('Paramètres'!$C$9,MAX($AF$6:AF489)))</f>
        <v/>
      </c>
      <c r="AH489" s="116">
        <f>IF(AF489="","",AF489/AG489-1)</f>
        <v/>
      </c>
      <c r="AI489" s="109">
        <f>IF(X489="","",IF(X489&gt;0,IF(N(AI488)&gt;0,N(AI488)+1,1),IF(X489&lt;0,IF(N(AI488)&lt;0,N(AI488)-1,-1),0)))</f>
        <v/>
      </c>
      <c r="AJ489" s="116">
        <f>IF(Z489="","",IFERROR(Z489/('Paramètres'!$C$9+SUM($X$5:X488)),""))</f>
        <v/>
      </c>
      <c r="AK489" s="109">
        <f>IF(AC489="Ouvert",COUNTIF($AC$6:AC489,"Ouvert"),"")</f>
        <v/>
      </c>
    </row>
    <row r="490" ht="19" customHeight="1">
      <c r="A490" s="104">
        <f>IF(B490="","",ROW()-5)</f>
        <v/>
      </c>
      <c r="B490" s="61" t="n"/>
      <c r="C490" s="61" t="n"/>
      <c r="D490" s="105" t="n"/>
      <c r="E490" s="49" t="n"/>
      <c r="F490" s="105" t="n"/>
      <c r="G490" s="49" t="n"/>
      <c r="H490" s="106" t="n"/>
      <c r="I490" s="107" t="n"/>
      <c r="J490" s="107" t="n"/>
      <c r="K490" s="107" t="n"/>
      <c r="L490" s="107" t="n"/>
      <c r="M490" s="106" t="n"/>
      <c r="N490" s="62" t="n"/>
      <c r="O490" s="49" t="n"/>
      <c r="P490" s="49" t="n"/>
      <c r="Q490" s="105" t="n"/>
      <c r="R490" s="105" t="n"/>
      <c r="S490" s="105" t="n"/>
      <c r="T490" s="105" t="n"/>
      <c r="U490" s="108">
        <f>IF(OR(H490="",I490="",I490=0),"",H490/I490)</f>
        <v/>
      </c>
      <c r="V490" s="109">
        <f>IF(OR(B490="",C490="",L490=""),"",MAX(0,C490-B490))</f>
        <v/>
      </c>
      <c r="W490" s="110">
        <f>IF(OR(L490="",U490=""),"",IF(E490="Short",(I490-L490)*U490,(L490-I490)*U490))</f>
        <v/>
      </c>
      <c r="X490" s="110">
        <f>IF(W490="","",W490-IF(M490="",0,M490))</f>
        <v/>
      </c>
      <c r="Y490" s="111">
        <f>IF(OR(X490="",H490="",H490=0),"",X490/H490)</f>
        <v/>
      </c>
      <c r="Z490" s="112">
        <f>IF(OR(I490="",J490="",U490=""),"",ABS(I490-J490)*U490)</f>
        <v/>
      </c>
      <c r="AA490" s="113">
        <f>IF(OR(X490="",Z490="",Z490=0),"",X490/Z490)</f>
        <v/>
      </c>
      <c r="AB490" s="114">
        <f>IF(OR(I490="",J490="",K490="",I490=J490),"",ABS(K490-I490)/ABS(I490-J490))</f>
        <v/>
      </c>
      <c r="AC490" s="51">
        <f>IF(OR(B490="",D490="",H490="",I490=""),"",IF(L490="","Ouvert",IF(X490&gt;0,"Gagné",IF(X490&lt;0,"Perdu","Neutre"))))</f>
        <v/>
      </c>
      <c r="AD490" s="115">
        <f>IF(X490="","",IF(C490="",B490,C490))</f>
        <v/>
      </c>
      <c r="AE490" s="109">
        <f>IF(B490="","",WEEKDAY(B490,2))</f>
        <v/>
      </c>
      <c r="AF490" s="112">
        <f>IF(X490="","",'Paramètres'!$C$9+SUM($X$6:X490))</f>
        <v/>
      </c>
      <c r="AG490" s="112">
        <f>IF(AF490="","",MAX('Paramètres'!$C$9,MAX($AF$6:AF490)))</f>
        <v/>
      </c>
      <c r="AH490" s="116">
        <f>IF(AF490="","",AF490/AG490-1)</f>
        <v/>
      </c>
      <c r="AI490" s="109">
        <f>IF(X490="","",IF(X490&gt;0,IF(N(AI489)&gt;0,N(AI489)+1,1),IF(X490&lt;0,IF(N(AI489)&lt;0,N(AI489)-1,-1),0)))</f>
        <v/>
      </c>
      <c r="AJ490" s="116">
        <f>IF(Z490="","",IFERROR(Z490/('Paramètres'!$C$9+SUM($X$5:X489)),""))</f>
        <v/>
      </c>
      <c r="AK490" s="109">
        <f>IF(AC490="Ouvert",COUNTIF($AC$6:AC490,"Ouvert"),"")</f>
        <v/>
      </c>
    </row>
    <row r="491" ht="19" customHeight="1">
      <c r="A491" s="104">
        <f>IF(B491="","",ROW()-5)</f>
        <v/>
      </c>
      <c r="B491" s="61" t="n"/>
      <c r="C491" s="61" t="n"/>
      <c r="D491" s="105" t="n"/>
      <c r="E491" s="49" t="n"/>
      <c r="F491" s="105" t="n"/>
      <c r="G491" s="49" t="n"/>
      <c r="H491" s="106" t="n"/>
      <c r="I491" s="107" t="n"/>
      <c r="J491" s="107" t="n"/>
      <c r="K491" s="107" t="n"/>
      <c r="L491" s="107" t="n"/>
      <c r="M491" s="106" t="n"/>
      <c r="N491" s="62" t="n"/>
      <c r="O491" s="49" t="n"/>
      <c r="P491" s="49" t="n"/>
      <c r="Q491" s="105" t="n"/>
      <c r="R491" s="105" t="n"/>
      <c r="S491" s="105" t="n"/>
      <c r="T491" s="105" t="n"/>
      <c r="U491" s="108">
        <f>IF(OR(H491="",I491="",I491=0),"",H491/I491)</f>
        <v/>
      </c>
      <c r="V491" s="109">
        <f>IF(OR(B491="",C491="",L491=""),"",MAX(0,C491-B491))</f>
        <v/>
      </c>
      <c r="W491" s="110">
        <f>IF(OR(L491="",U491=""),"",IF(E491="Short",(I491-L491)*U491,(L491-I491)*U491))</f>
        <v/>
      </c>
      <c r="X491" s="110">
        <f>IF(W491="","",W491-IF(M491="",0,M491))</f>
        <v/>
      </c>
      <c r="Y491" s="111">
        <f>IF(OR(X491="",H491="",H491=0),"",X491/H491)</f>
        <v/>
      </c>
      <c r="Z491" s="112">
        <f>IF(OR(I491="",J491="",U491=""),"",ABS(I491-J491)*U491)</f>
        <v/>
      </c>
      <c r="AA491" s="113">
        <f>IF(OR(X491="",Z491="",Z491=0),"",X491/Z491)</f>
        <v/>
      </c>
      <c r="AB491" s="114">
        <f>IF(OR(I491="",J491="",K491="",I491=J491),"",ABS(K491-I491)/ABS(I491-J491))</f>
        <v/>
      </c>
      <c r="AC491" s="51">
        <f>IF(OR(B491="",D491="",H491="",I491=""),"",IF(L491="","Ouvert",IF(X491&gt;0,"Gagné",IF(X491&lt;0,"Perdu","Neutre"))))</f>
        <v/>
      </c>
      <c r="AD491" s="115">
        <f>IF(X491="","",IF(C491="",B491,C491))</f>
        <v/>
      </c>
      <c r="AE491" s="109">
        <f>IF(B491="","",WEEKDAY(B491,2))</f>
        <v/>
      </c>
      <c r="AF491" s="112">
        <f>IF(X491="","",'Paramètres'!$C$9+SUM($X$6:X491))</f>
        <v/>
      </c>
      <c r="AG491" s="112">
        <f>IF(AF491="","",MAX('Paramètres'!$C$9,MAX($AF$6:AF491)))</f>
        <v/>
      </c>
      <c r="AH491" s="116">
        <f>IF(AF491="","",AF491/AG491-1)</f>
        <v/>
      </c>
      <c r="AI491" s="109">
        <f>IF(X491="","",IF(X491&gt;0,IF(N(AI490)&gt;0,N(AI490)+1,1),IF(X491&lt;0,IF(N(AI490)&lt;0,N(AI490)-1,-1),0)))</f>
        <v/>
      </c>
      <c r="AJ491" s="116">
        <f>IF(Z491="","",IFERROR(Z491/('Paramètres'!$C$9+SUM($X$5:X490)),""))</f>
        <v/>
      </c>
      <c r="AK491" s="109">
        <f>IF(AC491="Ouvert",COUNTIF($AC$6:AC491,"Ouvert"),"")</f>
        <v/>
      </c>
    </row>
    <row r="492" ht="19" customHeight="1">
      <c r="A492" s="104">
        <f>IF(B492="","",ROW()-5)</f>
        <v/>
      </c>
      <c r="B492" s="61" t="n"/>
      <c r="C492" s="61" t="n"/>
      <c r="D492" s="105" t="n"/>
      <c r="E492" s="49" t="n"/>
      <c r="F492" s="105" t="n"/>
      <c r="G492" s="49" t="n"/>
      <c r="H492" s="106" t="n"/>
      <c r="I492" s="107" t="n"/>
      <c r="J492" s="107" t="n"/>
      <c r="K492" s="107" t="n"/>
      <c r="L492" s="107" t="n"/>
      <c r="M492" s="106" t="n"/>
      <c r="N492" s="62" t="n"/>
      <c r="O492" s="49" t="n"/>
      <c r="P492" s="49" t="n"/>
      <c r="Q492" s="105" t="n"/>
      <c r="R492" s="105" t="n"/>
      <c r="S492" s="105" t="n"/>
      <c r="T492" s="105" t="n"/>
      <c r="U492" s="108">
        <f>IF(OR(H492="",I492="",I492=0),"",H492/I492)</f>
        <v/>
      </c>
      <c r="V492" s="109">
        <f>IF(OR(B492="",C492="",L492=""),"",MAX(0,C492-B492))</f>
        <v/>
      </c>
      <c r="W492" s="110">
        <f>IF(OR(L492="",U492=""),"",IF(E492="Short",(I492-L492)*U492,(L492-I492)*U492))</f>
        <v/>
      </c>
      <c r="X492" s="110">
        <f>IF(W492="","",W492-IF(M492="",0,M492))</f>
        <v/>
      </c>
      <c r="Y492" s="111">
        <f>IF(OR(X492="",H492="",H492=0),"",X492/H492)</f>
        <v/>
      </c>
      <c r="Z492" s="112">
        <f>IF(OR(I492="",J492="",U492=""),"",ABS(I492-J492)*U492)</f>
        <v/>
      </c>
      <c r="AA492" s="113">
        <f>IF(OR(X492="",Z492="",Z492=0),"",X492/Z492)</f>
        <v/>
      </c>
      <c r="AB492" s="114">
        <f>IF(OR(I492="",J492="",K492="",I492=J492),"",ABS(K492-I492)/ABS(I492-J492))</f>
        <v/>
      </c>
      <c r="AC492" s="51">
        <f>IF(OR(B492="",D492="",H492="",I492=""),"",IF(L492="","Ouvert",IF(X492&gt;0,"Gagné",IF(X492&lt;0,"Perdu","Neutre"))))</f>
        <v/>
      </c>
      <c r="AD492" s="115">
        <f>IF(X492="","",IF(C492="",B492,C492))</f>
        <v/>
      </c>
      <c r="AE492" s="109">
        <f>IF(B492="","",WEEKDAY(B492,2))</f>
        <v/>
      </c>
      <c r="AF492" s="112">
        <f>IF(X492="","",'Paramètres'!$C$9+SUM($X$6:X492))</f>
        <v/>
      </c>
      <c r="AG492" s="112">
        <f>IF(AF492="","",MAX('Paramètres'!$C$9,MAX($AF$6:AF492)))</f>
        <v/>
      </c>
      <c r="AH492" s="116">
        <f>IF(AF492="","",AF492/AG492-1)</f>
        <v/>
      </c>
      <c r="AI492" s="109">
        <f>IF(X492="","",IF(X492&gt;0,IF(N(AI491)&gt;0,N(AI491)+1,1),IF(X492&lt;0,IF(N(AI491)&lt;0,N(AI491)-1,-1),0)))</f>
        <v/>
      </c>
      <c r="AJ492" s="116">
        <f>IF(Z492="","",IFERROR(Z492/('Paramètres'!$C$9+SUM($X$5:X491)),""))</f>
        <v/>
      </c>
      <c r="AK492" s="109">
        <f>IF(AC492="Ouvert",COUNTIF($AC$6:AC492,"Ouvert"),"")</f>
        <v/>
      </c>
    </row>
    <row r="493" ht="19" customHeight="1">
      <c r="A493" s="104">
        <f>IF(B493="","",ROW()-5)</f>
        <v/>
      </c>
      <c r="B493" s="61" t="n"/>
      <c r="C493" s="61" t="n"/>
      <c r="D493" s="105" t="n"/>
      <c r="E493" s="49" t="n"/>
      <c r="F493" s="105" t="n"/>
      <c r="G493" s="49" t="n"/>
      <c r="H493" s="106" t="n"/>
      <c r="I493" s="107" t="n"/>
      <c r="J493" s="107" t="n"/>
      <c r="K493" s="107" t="n"/>
      <c r="L493" s="107" t="n"/>
      <c r="M493" s="106" t="n"/>
      <c r="N493" s="62" t="n"/>
      <c r="O493" s="49" t="n"/>
      <c r="P493" s="49" t="n"/>
      <c r="Q493" s="105" t="n"/>
      <c r="R493" s="105" t="n"/>
      <c r="S493" s="105" t="n"/>
      <c r="T493" s="105" t="n"/>
      <c r="U493" s="108">
        <f>IF(OR(H493="",I493="",I493=0),"",H493/I493)</f>
        <v/>
      </c>
      <c r="V493" s="109">
        <f>IF(OR(B493="",C493="",L493=""),"",MAX(0,C493-B493))</f>
        <v/>
      </c>
      <c r="W493" s="110">
        <f>IF(OR(L493="",U493=""),"",IF(E493="Short",(I493-L493)*U493,(L493-I493)*U493))</f>
        <v/>
      </c>
      <c r="X493" s="110">
        <f>IF(W493="","",W493-IF(M493="",0,M493))</f>
        <v/>
      </c>
      <c r="Y493" s="111">
        <f>IF(OR(X493="",H493="",H493=0),"",X493/H493)</f>
        <v/>
      </c>
      <c r="Z493" s="112">
        <f>IF(OR(I493="",J493="",U493=""),"",ABS(I493-J493)*U493)</f>
        <v/>
      </c>
      <c r="AA493" s="113">
        <f>IF(OR(X493="",Z493="",Z493=0),"",X493/Z493)</f>
        <v/>
      </c>
      <c r="AB493" s="114">
        <f>IF(OR(I493="",J493="",K493="",I493=J493),"",ABS(K493-I493)/ABS(I493-J493))</f>
        <v/>
      </c>
      <c r="AC493" s="51">
        <f>IF(OR(B493="",D493="",H493="",I493=""),"",IF(L493="","Ouvert",IF(X493&gt;0,"Gagné",IF(X493&lt;0,"Perdu","Neutre"))))</f>
        <v/>
      </c>
      <c r="AD493" s="115">
        <f>IF(X493="","",IF(C493="",B493,C493))</f>
        <v/>
      </c>
      <c r="AE493" s="109">
        <f>IF(B493="","",WEEKDAY(B493,2))</f>
        <v/>
      </c>
      <c r="AF493" s="112">
        <f>IF(X493="","",'Paramètres'!$C$9+SUM($X$6:X493))</f>
        <v/>
      </c>
      <c r="AG493" s="112">
        <f>IF(AF493="","",MAX('Paramètres'!$C$9,MAX($AF$6:AF493)))</f>
        <v/>
      </c>
      <c r="AH493" s="116">
        <f>IF(AF493="","",AF493/AG493-1)</f>
        <v/>
      </c>
      <c r="AI493" s="109">
        <f>IF(X493="","",IF(X493&gt;0,IF(N(AI492)&gt;0,N(AI492)+1,1),IF(X493&lt;0,IF(N(AI492)&lt;0,N(AI492)-1,-1),0)))</f>
        <v/>
      </c>
      <c r="AJ493" s="116">
        <f>IF(Z493="","",IFERROR(Z493/('Paramètres'!$C$9+SUM($X$5:X492)),""))</f>
        <v/>
      </c>
      <c r="AK493" s="109">
        <f>IF(AC493="Ouvert",COUNTIF($AC$6:AC493,"Ouvert"),"")</f>
        <v/>
      </c>
    </row>
    <row r="494" ht="19" customHeight="1">
      <c r="A494" s="104">
        <f>IF(B494="","",ROW()-5)</f>
        <v/>
      </c>
      <c r="B494" s="61" t="n"/>
      <c r="C494" s="61" t="n"/>
      <c r="D494" s="105" t="n"/>
      <c r="E494" s="49" t="n"/>
      <c r="F494" s="105" t="n"/>
      <c r="G494" s="49" t="n"/>
      <c r="H494" s="106" t="n"/>
      <c r="I494" s="107" t="n"/>
      <c r="J494" s="107" t="n"/>
      <c r="K494" s="107" t="n"/>
      <c r="L494" s="107" t="n"/>
      <c r="M494" s="106" t="n"/>
      <c r="N494" s="62" t="n"/>
      <c r="O494" s="49" t="n"/>
      <c r="P494" s="49" t="n"/>
      <c r="Q494" s="105" t="n"/>
      <c r="R494" s="105" t="n"/>
      <c r="S494" s="105" t="n"/>
      <c r="T494" s="105" t="n"/>
      <c r="U494" s="108">
        <f>IF(OR(H494="",I494="",I494=0),"",H494/I494)</f>
        <v/>
      </c>
      <c r="V494" s="109">
        <f>IF(OR(B494="",C494="",L494=""),"",MAX(0,C494-B494))</f>
        <v/>
      </c>
      <c r="W494" s="110">
        <f>IF(OR(L494="",U494=""),"",IF(E494="Short",(I494-L494)*U494,(L494-I494)*U494))</f>
        <v/>
      </c>
      <c r="X494" s="110">
        <f>IF(W494="","",W494-IF(M494="",0,M494))</f>
        <v/>
      </c>
      <c r="Y494" s="111">
        <f>IF(OR(X494="",H494="",H494=0),"",X494/H494)</f>
        <v/>
      </c>
      <c r="Z494" s="112">
        <f>IF(OR(I494="",J494="",U494=""),"",ABS(I494-J494)*U494)</f>
        <v/>
      </c>
      <c r="AA494" s="113">
        <f>IF(OR(X494="",Z494="",Z494=0),"",X494/Z494)</f>
        <v/>
      </c>
      <c r="AB494" s="114">
        <f>IF(OR(I494="",J494="",K494="",I494=J494),"",ABS(K494-I494)/ABS(I494-J494))</f>
        <v/>
      </c>
      <c r="AC494" s="51">
        <f>IF(OR(B494="",D494="",H494="",I494=""),"",IF(L494="","Ouvert",IF(X494&gt;0,"Gagné",IF(X494&lt;0,"Perdu","Neutre"))))</f>
        <v/>
      </c>
      <c r="AD494" s="115">
        <f>IF(X494="","",IF(C494="",B494,C494))</f>
        <v/>
      </c>
      <c r="AE494" s="109">
        <f>IF(B494="","",WEEKDAY(B494,2))</f>
        <v/>
      </c>
      <c r="AF494" s="112">
        <f>IF(X494="","",'Paramètres'!$C$9+SUM($X$6:X494))</f>
        <v/>
      </c>
      <c r="AG494" s="112">
        <f>IF(AF494="","",MAX('Paramètres'!$C$9,MAX($AF$6:AF494)))</f>
        <v/>
      </c>
      <c r="AH494" s="116">
        <f>IF(AF494="","",AF494/AG494-1)</f>
        <v/>
      </c>
      <c r="AI494" s="109">
        <f>IF(X494="","",IF(X494&gt;0,IF(N(AI493)&gt;0,N(AI493)+1,1),IF(X494&lt;0,IF(N(AI493)&lt;0,N(AI493)-1,-1),0)))</f>
        <v/>
      </c>
      <c r="AJ494" s="116">
        <f>IF(Z494="","",IFERROR(Z494/('Paramètres'!$C$9+SUM($X$5:X493)),""))</f>
        <v/>
      </c>
      <c r="AK494" s="109">
        <f>IF(AC494="Ouvert",COUNTIF($AC$6:AC494,"Ouvert"),"")</f>
        <v/>
      </c>
    </row>
    <row r="495" ht="19" customHeight="1">
      <c r="A495" s="104">
        <f>IF(B495="","",ROW()-5)</f>
        <v/>
      </c>
      <c r="B495" s="61" t="n"/>
      <c r="C495" s="61" t="n"/>
      <c r="D495" s="105" t="n"/>
      <c r="E495" s="49" t="n"/>
      <c r="F495" s="105" t="n"/>
      <c r="G495" s="49" t="n"/>
      <c r="H495" s="106" t="n"/>
      <c r="I495" s="107" t="n"/>
      <c r="J495" s="107" t="n"/>
      <c r="K495" s="107" t="n"/>
      <c r="L495" s="107" t="n"/>
      <c r="M495" s="106" t="n"/>
      <c r="N495" s="62" t="n"/>
      <c r="O495" s="49" t="n"/>
      <c r="P495" s="49" t="n"/>
      <c r="Q495" s="105" t="n"/>
      <c r="R495" s="105" t="n"/>
      <c r="S495" s="105" t="n"/>
      <c r="T495" s="105" t="n"/>
      <c r="U495" s="108">
        <f>IF(OR(H495="",I495="",I495=0),"",H495/I495)</f>
        <v/>
      </c>
      <c r="V495" s="109">
        <f>IF(OR(B495="",C495="",L495=""),"",MAX(0,C495-B495))</f>
        <v/>
      </c>
      <c r="W495" s="110">
        <f>IF(OR(L495="",U495=""),"",IF(E495="Short",(I495-L495)*U495,(L495-I495)*U495))</f>
        <v/>
      </c>
      <c r="X495" s="110">
        <f>IF(W495="","",W495-IF(M495="",0,M495))</f>
        <v/>
      </c>
      <c r="Y495" s="111">
        <f>IF(OR(X495="",H495="",H495=0),"",X495/H495)</f>
        <v/>
      </c>
      <c r="Z495" s="112">
        <f>IF(OR(I495="",J495="",U495=""),"",ABS(I495-J495)*U495)</f>
        <v/>
      </c>
      <c r="AA495" s="113">
        <f>IF(OR(X495="",Z495="",Z495=0),"",X495/Z495)</f>
        <v/>
      </c>
      <c r="AB495" s="114">
        <f>IF(OR(I495="",J495="",K495="",I495=J495),"",ABS(K495-I495)/ABS(I495-J495))</f>
        <v/>
      </c>
      <c r="AC495" s="51">
        <f>IF(OR(B495="",D495="",H495="",I495=""),"",IF(L495="","Ouvert",IF(X495&gt;0,"Gagné",IF(X495&lt;0,"Perdu","Neutre"))))</f>
        <v/>
      </c>
      <c r="AD495" s="115">
        <f>IF(X495="","",IF(C495="",B495,C495))</f>
        <v/>
      </c>
      <c r="AE495" s="109">
        <f>IF(B495="","",WEEKDAY(B495,2))</f>
        <v/>
      </c>
      <c r="AF495" s="112">
        <f>IF(X495="","",'Paramètres'!$C$9+SUM($X$6:X495))</f>
        <v/>
      </c>
      <c r="AG495" s="112">
        <f>IF(AF495="","",MAX('Paramètres'!$C$9,MAX($AF$6:AF495)))</f>
        <v/>
      </c>
      <c r="AH495" s="116">
        <f>IF(AF495="","",AF495/AG495-1)</f>
        <v/>
      </c>
      <c r="AI495" s="109">
        <f>IF(X495="","",IF(X495&gt;0,IF(N(AI494)&gt;0,N(AI494)+1,1),IF(X495&lt;0,IF(N(AI494)&lt;0,N(AI494)-1,-1),0)))</f>
        <v/>
      </c>
      <c r="AJ495" s="116">
        <f>IF(Z495="","",IFERROR(Z495/('Paramètres'!$C$9+SUM($X$5:X494)),""))</f>
        <v/>
      </c>
      <c r="AK495" s="109">
        <f>IF(AC495="Ouvert",COUNTIF($AC$6:AC495,"Ouvert"),"")</f>
        <v/>
      </c>
    </row>
    <row r="496" ht="19" customHeight="1">
      <c r="A496" s="104">
        <f>IF(B496="","",ROW()-5)</f>
        <v/>
      </c>
      <c r="B496" s="61" t="n"/>
      <c r="C496" s="61" t="n"/>
      <c r="D496" s="105" t="n"/>
      <c r="E496" s="49" t="n"/>
      <c r="F496" s="105" t="n"/>
      <c r="G496" s="49" t="n"/>
      <c r="H496" s="106" t="n"/>
      <c r="I496" s="107" t="n"/>
      <c r="J496" s="107" t="n"/>
      <c r="K496" s="107" t="n"/>
      <c r="L496" s="107" t="n"/>
      <c r="M496" s="106" t="n"/>
      <c r="N496" s="62" t="n"/>
      <c r="O496" s="49" t="n"/>
      <c r="P496" s="49" t="n"/>
      <c r="Q496" s="105" t="n"/>
      <c r="R496" s="105" t="n"/>
      <c r="S496" s="105" t="n"/>
      <c r="T496" s="105" t="n"/>
      <c r="U496" s="108">
        <f>IF(OR(H496="",I496="",I496=0),"",H496/I496)</f>
        <v/>
      </c>
      <c r="V496" s="109">
        <f>IF(OR(B496="",C496="",L496=""),"",MAX(0,C496-B496))</f>
        <v/>
      </c>
      <c r="W496" s="110">
        <f>IF(OR(L496="",U496=""),"",IF(E496="Short",(I496-L496)*U496,(L496-I496)*U496))</f>
        <v/>
      </c>
      <c r="X496" s="110">
        <f>IF(W496="","",W496-IF(M496="",0,M496))</f>
        <v/>
      </c>
      <c r="Y496" s="111">
        <f>IF(OR(X496="",H496="",H496=0),"",X496/H496)</f>
        <v/>
      </c>
      <c r="Z496" s="112">
        <f>IF(OR(I496="",J496="",U496=""),"",ABS(I496-J496)*U496)</f>
        <v/>
      </c>
      <c r="AA496" s="113">
        <f>IF(OR(X496="",Z496="",Z496=0),"",X496/Z496)</f>
        <v/>
      </c>
      <c r="AB496" s="114">
        <f>IF(OR(I496="",J496="",K496="",I496=J496),"",ABS(K496-I496)/ABS(I496-J496))</f>
        <v/>
      </c>
      <c r="AC496" s="51">
        <f>IF(OR(B496="",D496="",H496="",I496=""),"",IF(L496="","Ouvert",IF(X496&gt;0,"Gagné",IF(X496&lt;0,"Perdu","Neutre"))))</f>
        <v/>
      </c>
      <c r="AD496" s="115">
        <f>IF(X496="","",IF(C496="",B496,C496))</f>
        <v/>
      </c>
      <c r="AE496" s="109">
        <f>IF(B496="","",WEEKDAY(B496,2))</f>
        <v/>
      </c>
      <c r="AF496" s="112">
        <f>IF(X496="","",'Paramètres'!$C$9+SUM($X$6:X496))</f>
        <v/>
      </c>
      <c r="AG496" s="112">
        <f>IF(AF496="","",MAX('Paramètres'!$C$9,MAX($AF$6:AF496)))</f>
        <v/>
      </c>
      <c r="AH496" s="116">
        <f>IF(AF496="","",AF496/AG496-1)</f>
        <v/>
      </c>
      <c r="AI496" s="109">
        <f>IF(X496="","",IF(X496&gt;0,IF(N(AI495)&gt;0,N(AI495)+1,1),IF(X496&lt;0,IF(N(AI495)&lt;0,N(AI495)-1,-1),0)))</f>
        <v/>
      </c>
      <c r="AJ496" s="116">
        <f>IF(Z496="","",IFERROR(Z496/('Paramètres'!$C$9+SUM($X$5:X495)),""))</f>
        <v/>
      </c>
      <c r="AK496" s="109">
        <f>IF(AC496="Ouvert",COUNTIF($AC$6:AC496,"Ouvert"),"")</f>
        <v/>
      </c>
    </row>
    <row r="497" ht="19" customHeight="1">
      <c r="A497" s="104">
        <f>IF(B497="","",ROW()-5)</f>
        <v/>
      </c>
      <c r="B497" s="61" t="n"/>
      <c r="C497" s="61" t="n"/>
      <c r="D497" s="105" t="n"/>
      <c r="E497" s="49" t="n"/>
      <c r="F497" s="105" t="n"/>
      <c r="G497" s="49" t="n"/>
      <c r="H497" s="106" t="n"/>
      <c r="I497" s="107" t="n"/>
      <c r="J497" s="107" t="n"/>
      <c r="K497" s="107" t="n"/>
      <c r="L497" s="107" t="n"/>
      <c r="M497" s="106" t="n"/>
      <c r="N497" s="62" t="n"/>
      <c r="O497" s="49" t="n"/>
      <c r="P497" s="49" t="n"/>
      <c r="Q497" s="105" t="n"/>
      <c r="R497" s="105" t="n"/>
      <c r="S497" s="105" t="n"/>
      <c r="T497" s="105" t="n"/>
      <c r="U497" s="108">
        <f>IF(OR(H497="",I497="",I497=0),"",H497/I497)</f>
        <v/>
      </c>
      <c r="V497" s="109">
        <f>IF(OR(B497="",C497="",L497=""),"",MAX(0,C497-B497))</f>
        <v/>
      </c>
      <c r="W497" s="110">
        <f>IF(OR(L497="",U497=""),"",IF(E497="Short",(I497-L497)*U497,(L497-I497)*U497))</f>
        <v/>
      </c>
      <c r="X497" s="110">
        <f>IF(W497="","",W497-IF(M497="",0,M497))</f>
        <v/>
      </c>
      <c r="Y497" s="111">
        <f>IF(OR(X497="",H497="",H497=0),"",X497/H497)</f>
        <v/>
      </c>
      <c r="Z497" s="112">
        <f>IF(OR(I497="",J497="",U497=""),"",ABS(I497-J497)*U497)</f>
        <v/>
      </c>
      <c r="AA497" s="113">
        <f>IF(OR(X497="",Z497="",Z497=0),"",X497/Z497)</f>
        <v/>
      </c>
      <c r="AB497" s="114">
        <f>IF(OR(I497="",J497="",K497="",I497=J497),"",ABS(K497-I497)/ABS(I497-J497))</f>
        <v/>
      </c>
      <c r="AC497" s="51">
        <f>IF(OR(B497="",D497="",H497="",I497=""),"",IF(L497="","Ouvert",IF(X497&gt;0,"Gagné",IF(X497&lt;0,"Perdu","Neutre"))))</f>
        <v/>
      </c>
      <c r="AD497" s="115">
        <f>IF(X497="","",IF(C497="",B497,C497))</f>
        <v/>
      </c>
      <c r="AE497" s="109">
        <f>IF(B497="","",WEEKDAY(B497,2))</f>
        <v/>
      </c>
      <c r="AF497" s="112">
        <f>IF(X497="","",'Paramètres'!$C$9+SUM($X$6:X497))</f>
        <v/>
      </c>
      <c r="AG497" s="112">
        <f>IF(AF497="","",MAX('Paramètres'!$C$9,MAX($AF$6:AF497)))</f>
        <v/>
      </c>
      <c r="AH497" s="116">
        <f>IF(AF497="","",AF497/AG497-1)</f>
        <v/>
      </c>
      <c r="AI497" s="109">
        <f>IF(X497="","",IF(X497&gt;0,IF(N(AI496)&gt;0,N(AI496)+1,1),IF(X497&lt;0,IF(N(AI496)&lt;0,N(AI496)-1,-1),0)))</f>
        <v/>
      </c>
      <c r="AJ497" s="116">
        <f>IF(Z497="","",IFERROR(Z497/('Paramètres'!$C$9+SUM($X$5:X496)),""))</f>
        <v/>
      </c>
      <c r="AK497" s="109">
        <f>IF(AC497="Ouvert",COUNTIF($AC$6:AC497,"Ouvert"),"")</f>
        <v/>
      </c>
    </row>
    <row r="498" ht="19" customHeight="1">
      <c r="A498" s="104">
        <f>IF(B498="","",ROW()-5)</f>
        <v/>
      </c>
      <c r="B498" s="61" t="n"/>
      <c r="C498" s="61" t="n"/>
      <c r="D498" s="105" t="n"/>
      <c r="E498" s="49" t="n"/>
      <c r="F498" s="105" t="n"/>
      <c r="G498" s="49" t="n"/>
      <c r="H498" s="106" t="n"/>
      <c r="I498" s="107" t="n"/>
      <c r="J498" s="107" t="n"/>
      <c r="K498" s="107" t="n"/>
      <c r="L498" s="107" t="n"/>
      <c r="M498" s="106" t="n"/>
      <c r="N498" s="62" t="n"/>
      <c r="O498" s="49" t="n"/>
      <c r="P498" s="49" t="n"/>
      <c r="Q498" s="105" t="n"/>
      <c r="R498" s="105" t="n"/>
      <c r="S498" s="105" t="n"/>
      <c r="T498" s="105" t="n"/>
      <c r="U498" s="108">
        <f>IF(OR(H498="",I498="",I498=0),"",H498/I498)</f>
        <v/>
      </c>
      <c r="V498" s="109">
        <f>IF(OR(B498="",C498="",L498=""),"",MAX(0,C498-B498))</f>
        <v/>
      </c>
      <c r="W498" s="110">
        <f>IF(OR(L498="",U498=""),"",IF(E498="Short",(I498-L498)*U498,(L498-I498)*U498))</f>
        <v/>
      </c>
      <c r="X498" s="110">
        <f>IF(W498="","",W498-IF(M498="",0,M498))</f>
        <v/>
      </c>
      <c r="Y498" s="111">
        <f>IF(OR(X498="",H498="",H498=0),"",X498/H498)</f>
        <v/>
      </c>
      <c r="Z498" s="112">
        <f>IF(OR(I498="",J498="",U498=""),"",ABS(I498-J498)*U498)</f>
        <v/>
      </c>
      <c r="AA498" s="113">
        <f>IF(OR(X498="",Z498="",Z498=0),"",X498/Z498)</f>
        <v/>
      </c>
      <c r="AB498" s="114">
        <f>IF(OR(I498="",J498="",K498="",I498=J498),"",ABS(K498-I498)/ABS(I498-J498))</f>
        <v/>
      </c>
      <c r="AC498" s="51">
        <f>IF(OR(B498="",D498="",H498="",I498=""),"",IF(L498="","Ouvert",IF(X498&gt;0,"Gagné",IF(X498&lt;0,"Perdu","Neutre"))))</f>
        <v/>
      </c>
      <c r="AD498" s="115">
        <f>IF(X498="","",IF(C498="",B498,C498))</f>
        <v/>
      </c>
      <c r="AE498" s="109">
        <f>IF(B498="","",WEEKDAY(B498,2))</f>
        <v/>
      </c>
      <c r="AF498" s="112">
        <f>IF(X498="","",'Paramètres'!$C$9+SUM($X$6:X498))</f>
        <v/>
      </c>
      <c r="AG498" s="112">
        <f>IF(AF498="","",MAX('Paramètres'!$C$9,MAX($AF$6:AF498)))</f>
        <v/>
      </c>
      <c r="AH498" s="116">
        <f>IF(AF498="","",AF498/AG498-1)</f>
        <v/>
      </c>
      <c r="AI498" s="109">
        <f>IF(X498="","",IF(X498&gt;0,IF(N(AI497)&gt;0,N(AI497)+1,1),IF(X498&lt;0,IF(N(AI497)&lt;0,N(AI497)-1,-1),0)))</f>
        <v/>
      </c>
      <c r="AJ498" s="116">
        <f>IF(Z498="","",IFERROR(Z498/('Paramètres'!$C$9+SUM($X$5:X497)),""))</f>
        <v/>
      </c>
      <c r="AK498" s="109">
        <f>IF(AC498="Ouvert",COUNTIF($AC$6:AC498,"Ouvert"),"")</f>
        <v/>
      </c>
    </row>
    <row r="499" ht="19" customHeight="1">
      <c r="A499" s="104">
        <f>IF(B499="","",ROW()-5)</f>
        <v/>
      </c>
      <c r="B499" s="61" t="n"/>
      <c r="C499" s="61" t="n"/>
      <c r="D499" s="105" t="n"/>
      <c r="E499" s="49" t="n"/>
      <c r="F499" s="105" t="n"/>
      <c r="G499" s="49" t="n"/>
      <c r="H499" s="106" t="n"/>
      <c r="I499" s="107" t="n"/>
      <c r="J499" s="107" t="n"/>
      <c r="K499" s="107" t="n"/>
      <c r="L499" s="107" t="n"/>
      <c r="M499" s="106" t="n"/>
      <c r="N499" s="62" t="n"/>
      <c r="O499" s="49" t="n"/>
      <c r="P499" s="49" t="n"/>
      <c r="Q499" s="105" t="n"/>
      <c r="R499" s="105" t="n"/>
      <c r="S499" s="105" t="n"/>
      <c r="T499" s="105" t="n"/>
      <c r="U499" s="108">
        <f>IF(OR(H499="",I499="",I499=0),"",H499/I499)</f>
        <v/>
      </c>
      <c r="V499" s="109">
        <f>IF(OR(B499="",C499="",L499=""),"",MAX(0,C499-B499))</f>
        <v/>
      </c>
      <c r="W499" s="110">
        <f>IF(OR(L499="",U499=""),"",IF(E499="Short",(I499-L499)*U499,(L499-I499)*U499))</f>
        <v/>
      </c>
      <c r="X499" s="110">
        <f>IF(W499="","",W499-IF(M499="",0,M499))</f>
        <v/>
      </c>
      <c r="Y499" s="111">
        <f>IF(OR(X499="",H499="",H499=0),"",X499/H499)</f>
        <v/>
      </c>
      <c r="Z499" s="112">
        <f>IF(OR(I499="",J499="",U499=""),"",ABS(I499-J499)*U499)</f>
        <v/>
      </c>
      <c r="AA499" s="113">
        <f>IF(OR(X499="",Z499="",Z499=0),"",X499/Z499)</f>
        <v/>
      </c>
      <c r="AB499" s="114">
        <f>IF(OR(I499="",J499="",K499="",I499=J499),"",ABS(K499-I499)/ABS(I499-J499))</f>
        <v/>
      </c>
      <c r="AC499" s="51">
        <f>IF(OR(B499="",D499="",H499="",I499=""),"",IF(L499="","Ouvert",IF(X499&gt;0,"Gagné",IF(X499&lt;0,"Perdu","Neutre"))))</f>
        <v/>
      </c>
      <c r="AD499" s="115">
        <f>IF(X499="","",IF(C499="",B499,C499))</f>
        <v/>
      </c>
      <c r="AE499" s="109">
        <f>IF(B499="","",WEEKDAY(B499,2))</f>
        <v/>
      </c>
      <c r="AF499" s="112">
        <f>IF(X499="","",'Paramètres'!$C$9+SUM($X$6:X499))</f>
        <v/>
      </c>
      <c r="AG499" s="112">
        <f>IF(AF499="","",MAX('Paramètres'!$C$9,MAX($AF$6:AF499)))</f>
        <v/>
      </c>
      <c r="AH499" s="116">
        <f>IF(AF499="","",AF499/AG499-1)</f>
        <v/>
      </c>
      <c r="AI499" s="109">
        <f>IF(X499="","",IF(X499&gt;0,IF(N(AI498)&gt;0,N(AI498)+1,1),IF(X499&lt;0,IF(N(AI498)&lt;0,N(AI498)-1,-1),0)))</f>
        <v/>
      </c>
      <c r="AJ499" s="116">
        <f>IF(Z499="","",IFERROR(Z499/('Paramètres'!$C$9+SUM($X$5:X498)),""))</f>
        <v/>
      </c>
      <c r="AK499" s="109">
        <f>IF(AC499="Ouvert",COUNTIF($AC$6:AC499,"Ouvert"),"")</f>
        <v/>
      </c>
    </row>
    <row r="500" ht="19" customHeight="1">
      <c r="A500" s="104">
        <f>IF(B500="","",ROW()-5)</f>
        <v/>
      </c>
      <c r="B500" s="61" t="n"/>
      <c r="C500" s="61" t="n"/>
      <c r="D500" s="105" t="n"/>
      <c r="E500" s="49" t="n"/>
      <c r="F500" s="105" t="n"/>
      <c r="G500" s="49" t="n"/>
      <c r="H500" s="106" t="n"/>
      <c r="I500" s="107" t="n"/>
      <c r="J500" s="107" t="n"/>
      <c r="K500" s="107" t="n"/>
      <c r="L500" s="107" t="n"/>
      <c r="M500" s="106" t="n"/>
      <c r="N500" s="62" t="n"/>
      <c r="O500" s="49" t="n"/>
      <c r="P500" s="49" t="n"/>
      <c r="Q500" s="105" t="n"/>
      <c r="R500" s="105" t="n"/>
      <c r="S500" s="105" t="n"/>
      <c r="T500" s="105" t="n"/>
      <c r="U500" s="108">
        <f>IF(OR(H500="",I500="",I500=0),"",H500/I500)</f>
        <v/>
      </c>
      <c r="V500" s="109">
        <f>IF(OR(B500="",C500="",L500=""),"",MAX(0,C500-B500))</f>
        <v/>
      </c>
      <c r="W500" s="110">
        <f>IF(OR(L500="",U500=""),"",IF(E500="Short",(I500-L500)*U500,(L500-I500)*U500))</f>
        <v/>
      </c>
      <c r="X500" s="110">
        <f>IF(W500="","",W500-IF(M500="",0,M500))</f>
        <v/>
      </c>
      <c r="Y500" s="111">
        <f>IF(OR(X500="",H500="",H500=0),"",X500/H500)</f>
        <v/>
      </c>
      <c r="Z500" s="112">
        <f>IF(OR(I500="",J500="",U500=""),"",ABS(I500-J500)*U500)</f>
        <v/>
      </c>
      <c r="AA500" s="113">
        <f>IF(OR(X500="",Z500="",Z500=0),"",X500/Z500)</f>
        <v/>
      </c>
      <c r="AB500" s="114">
        <f>IF(OR(I500="",J500="",K500="",I500=J500),"",ABS(K500-I500)/ABS(I500-J500))</f>
        <v/>
      </c>
      <c r="AC500" s="51">
        <f>IF(OR(B500="",D500="",H500="",I500=""),"",IF(L500="","Ouvert",IF(X500&gt;0,"Gagné",IF(X500&lt;0,"Perdu","Neutre"))))</f>
        <v/>
      </c>
      <c r="AD500" s="115">
        <f>IF(X500="","",IF(C500="",B500,C500))</f>
        <v/>
      </c>
      <c r="AE500" s="109">
        <f>IF(B500="","",WEEKDAY(B500,2))</f>
        <v/>
      </c>
      <c r="AF500" s="112">
        <f>IF(X500="","",'Paramètres'!$C$9+SUM($X$6:X500))</f>
        <v/>
      </c>
      <c r="AG500" s="112">
        <f>IF(AF500="","",MAX('Paramètres'!$C$9,MAX($AF$6:AF500)))</f>
        <v/>
      </c>
      <c r="AH500" s="116">
        <f>IF(AF500="","",AF500/AG500-1)</f>
        <v/>
      </c>
      <c r="AI500" s="109">
        <f>IF(X500="","",IF(X500&gt;0,IF(N(AI499)&gt;0,N(AI499)+1,1),IF(X500&lt;0,IF(N(AI499)&lt;0,N(AI499)-1,-1),0)))</f>
        <v/>
      </c>
      <c r="AJ500" s="116">
        <f>IF(Z500="","",IFERROR(Z500/('Paramètres'!$C$9+SUM($X$5:X499)),""))</f>
        <v/>
      </c>
      <c r="AK500" s="109">
        <f>IF(AC500="Ouvert",COUNTIF($AC$6:AC500,"Ouvert"),"")</f>
        <v/>
      </c>
    </row>
    <row r="501" ht="19" customHeight="1">
      <c r="A501" s="104">
        <f>IF(B501="","",ROW()-5)</f>
        <v/>
      </c>
      <c r="B501" s="61" t="n"/>
      <c r="C501" s="61" t="n"/>
      <c r="D501" s="105" t="n"/>
      <c r="E501" s="49" t="n"/>
      <c r="F501" s="105" t="n"/>
      <c r="G501" s="49" t="n"/>
      <c r="H501" s="106" t="n"/>
      <c r="I501" s="107" t="n"/>
      <c r="J501" s="107" t="n"/>
      <c r="K501" s="107" t="n"/>
      <c r="L501" s="107" t="n"/>
      <c r="M501" s="106" t="n"/>
      <c r="N501" s="62" t="n"/>
      <c r="O501" s="49" t="n"/>
      <c r="P501" s="49" t="n"/>
      <c r="Q501" s="105" t="n"/>
      <c r="R501" s="105" t="n"/>
      <c r="S501" s="105" t="n"/>
      <c r="T501" s="105" t="n"/>
      <c r="U501" s="108">
        <f>IF(OR(H501="",I501="",I501=0),"",H501/I501)</f>
        <v/>
      </c>
      <c r="V501" s="109">
        <f>IF(OR(B501="",C501="",L501=""),"",MAX(0,C501-B501))</f>
        <v/>
      </c>
      <c r="W501" s="110">
        <f>IF(OR(L501="",U501=""),"",IF(E501="Short",(I501-L501)*U501,(L501-I501)*U501))</f>
        <v/>
      </c>
      <c r="X501" s="110">
        <f>IF(W501="","",W501-IF(M501="",0,M501))</f>
        <v/>
      </c>
      <c r="Y501" s="111">
        <f>IF(OR(X501="",H501="",H501=0),"",X501/H501)</f>
        <v/>
      </c>
      <c r="Z501" s="112">
        <f>IF(OR(I501="",J501="",U501=""),"",ABS(I501-J501)*U501)</f>
        <v/>
      </c>
      <c r="AA501" s="113">
        <f>IF(OR(X501="",Z501="",Z501=0),"",X501/Z501)</f>
        <v/>
      </c>
      <c r="AB501" s="114">
        <f>IF(OR(I501="",J501="",K501="",I501=J501),"",ABS(K501-I501)/ABS(I501-J501))</f>
        <v/>
      </c>
      <c r="AC501" s="51">
        <f>IF(OR(B501="",D501="",H501="",I501=""),"",IF(L501="","Ouvert",IF(X501&gt;0,"Gagné",IF(X501&lt;0,"Perdu","Neutre"))))</f>
        <v/>
      </c>
      <c r="AD501" s="115">
        <f>IF(X501="","",IF(C501="",B501,C501))</f>
        <v/>
      </c>
      <c r="AE501" s="109">
        <f>IF(B501="","",WEEKDAY(B501,2))</f>
        <v/>
      </c>
      <c r="AF501" s="112">
        <f>IF(X501="","",'Paramètres'!$C$9+SUM($X$6:X501))</f>
        <v/>
      </c>
      <c r="AG501" s="112">
        <f>IF(AF501="","",MAX('Paramètres'!$C$9,MAX($AF$6:AF501)))</f>
        <v/>
      </c>
      <c r="AH501" s="116">
        <f>IF(AF501="","",AF501/AG501-1)</f>
        <v/>
      </c>
      <c r="AI501" s="109">
        <f>IF(X501="","",IF(X501&gt;0,IF(N(AI500)&gt;0,N(AI500)+1,1),IF(X501&lt;0,IF(N(AI500)&lt;0,N(AI500)-1,-1),0)))</f>
        <v/>
      </c>
      <c r="AJ501" s="116">
        <f>IF(Z501="","",IFERROR(Z501/('Paramètres'!$C$9+SUM($X$5:X500)),""))</f>
        <v/>
      </c>
      <c r="AK501" s="109">
        <f>IF(AC501="Ouvert",COUNTIF($AC$6:AC501,"Ouvert"),"")</f>
        <v/>
      </c>
    </row>
    <row r="502" ht="19" customHeight="1">
      <c r="A502" s="104">
        <f>IF(B502="","",ROW()-5)</f>
        <v/>
      </c>
      <c r="B502" s="61" t="n"/>
      <c r="C502" s="61" t="n"/>
      <c r="D502" s="105" t="n"/>
      <c r="E502" s="49" t="n"/>
      <c r="F502" s="105" t="n"/>
      <c r="G502" s="49" t="n"/>
      <c r="H502" s="106" t="n"/>
      <c r="I502" s="107" t="n"/>
      <c r="J502" s="107" t="n"/>
      <c r="K502" s="107" t="n"/>
      <c r="L502" s="107" t="n"/>
      <c r="M502" s="106" t="n"/>
      <c r="N502" s="62" t="n"/>
      <c r="O502" s="49" t="n"/>
      <c r="P502" s="49" t="n"/>
      <c r="Q502" s="105" t="n"/>
      <c r="R502" s="105" t="n"/>
      <c r="S502" s="105" t="n"/>
      <c r="T502" s="105" t="n"/>
      <c r="U502" s="108">
        <f>IF(OR(H502="",I502="",I502=0),"",H502/I502)</f>
        <v/>
      </c>
      <c r="V502" s="109">
        <f>IF(OR(B502="",C502="",L502=""),"",MAX(0,C502-B502))</f>
        <v/>
      </c>
      <c r="W502" s="110">
        <f>IF(OR(L502="",U502=""),"",IF(E502="Short",(I502-L502)*U502,(L502-I502)*U502))</f>
        <v/>
      </c>
      <c r="X502" s="110">
        <f>IF(W502="","",W502-IF(M502="",0,M502))</f>
        <v/>
      </c>
      <c r="Y502" s="111">
        <f>IF(OR(X502="",H502="",H502=0),"",X502/H502)</f>
        <v/>
      </c>
      <c r="Z502" s="112">
        <f>IF(OR(I502="",J502="",U502=""),"",ABS(I502-J502)*U502)</f>
        <v/>
      </c>
      <c r="AA502" s="113">
        <f>IF(OR(X502="",Z502="",Z502=0),"",X502/Z502)</f>
        <v/>
      </c>
      <c r="AB502" s="114">
        <f>IF(OR(I502="",J502="",K502="",I502=J502),"",ABS(K502-I502)/ABS(I502-J502))</f>
        <v/>
      </c>
      <c r="AC502" s="51">
        <f>IF(OR(B502="",D502="",H502="",I502=""),"",IF(L502="","Ouvert",IF(X502&gt;0,"Gagné",IF(X502&lt;0,"Perdu","Neutre"))))</f>
        <v/>
      </c>
      <c r="AD502" s="115">
        <f>IF(X502="","",IF(C502="",B502,C502))</f>
        <v/>
      </c>
      <c r="AE502" s="109">
        <f>IF(B502="","",WEEKDAY(B502,2))</f>
        <v/>
      </c>
      <c r="AF502" s="112">
        <f>IF(X502="","",'Paramètres'!$C$9+SUM($X$6:X502))</f>
        <v/>
      </c>
      <c r="AG502" s="112">
        <f>IF(AF502="","",MAX('Paramètres'!$C$9,MAX($AF$6:AF502)))</f>
        <v/>
      </c>
      <c r="AH502" s="116">
        <f>IF(AF502="","",AF502/AG502-1)</f>
        <v/>
      </c>
      <c r="AI502" s="109">
        <f>IF(X502="","",IF(X502&gt;0,IF(N(AI501)&gt;0,N(AI501)+1,1),IF(X502&lt;0,IF(N(AI501)&lt;0,N(AI501)-1,-1),0)))</f>
        <v/>
      </c>
      <c r="AJ502" s="116">
        <f>IF(Z502="","",IFERROR(Z502/('Paramètres'!$C$9+SUM($X$5:X501)),""))</f>
        <v/>
      </c>
      <c r="AK502" s="109">
        <f>IF(AC502="Ouvert",COUNTIF($AC$6:AC502,"Ouvert"),"")</f>
        <v/>
      </c>
    </row>
    <row r="503" ht="19" customHeight="1">
      <c r="A503" s="104">
        <f>IF(B503="","",ROW()-5)</f>
        <v/>
      </c>
      <c r="B503" s="61" t="n"/>
      <c r="C503" s="61" t="n"/>
      <c r="D503" s="105" t="n"/>
      <c r="E503" s="49" t="n"/>
      <c r="F503" s="105" t="n"/>
      <c r="G503" s="49" t="n"/>
      <c r="H503" s="106" t="n"/>
      <c r="I503" s="107" t="n"/>
      <c r="J503" s="107" t="n"/>
      <c r="K503" s="107" t="n"/>
      <c r="L503" s="107" t="n"/>
      <c r="M503" s="106" t="n"/>
      <c r="N503" s="62" t="n"/>
      <c r="O503" s="49" t="n"/>
      <c r="P503" s="49" t="n"/>
      <c r="Q503" s="105" t="n"/>
      <c r="R503" s="105" t="n"/>
      <c r="S503" s="105" t="n"/>
      <c r="T503" s="105" t="n"/>
      <c r="U503" s="108">
        <f>IF(OR(H503="",I503="",I503=0),"",H503/I503)</f>
        <v/>
      </c>
      <c r="V503" s="109">
        <f>IF(OR(B503="",C503="",L503=""),"",MAX(0,C503-B503))</f>
        <v/>
      </c>
      <c r="W503" s="110">
        <f>IF(OR(L503="",U503=""),"",IF(E503="Short",(I503-L503)*U503,(L503-I503)*U503))</f>
        <v/>
      </c>
      <c r="X503" s="110">
        <f>IF(W503="","",W503-IF(M503="",0,M503))</f>
        <v/>
      </c>
      <c r="Y503" s="111">
        <f>IF(OR(X503="",H503="",H503=0),"",X503/H503)</f>
        <v/>
      </c>
      <c r="Z503" s="112">
        <f>IF(OR(I503="",J503="",U503=""),"",ABS(I503-J503)*U503)</f>
        <v/>
      </c>
      <c r="AA503" s="113">
        <f>IF(OR(X503="",Z503="",Z503=0),"",X503/Z503)</f>
        <v/>
      </c>
      <c r="AB503" s="114">
        <f>IF(OR(I503="",J503="",K503="",I503=J503),"",ABS(K503-I503)/ABS(I503-J503))</f>
        <v/>
      </c>
      <c r="AC503" s="51">
        <f>IF(OR(B503="",D503="",H503="",I503=""),"",IF(L503="","Ouvert",IF(X503&gt;0,"Gagné",IF(X503&lt;0,"Perdu","Neutre"))))</f>
        <v/>
      </c>
      <c r="AD503" s="115">
        <f>IF(X503="","",IF(C503="",B503,C503))</f>
        <v/>
      </c>
      <c r="AE503" s="109">
        <f>IF(B503="","",WEEKDAY(B503,2))</f>
        <v/>
      </c>
      <c r="AF503" s="112">
        <f>IF(X503="","",'Paramètres'!$C$9+SUM($X$6:X503))</f>
        <v/>
      </c>
      <c r="AG503" s="112">
        <f>IF(AF503="","",MAX('Paramètres'!$C$9,MAX($AF$6:AF503)))</f>
        <v/>
      </c>
      <c r="AH503" s="116">
        <f>IF(AF503="","",AF503/AG503-1)</f>
        <v/>
      </c>
      <c r="AI503" s="109">
        <f>IF(X503="","",IF(X503&gt;0,IF(N(AI502)&gt;0,N(AI502)+1,1),IF(X503&lt;0,IF(N(AI502)&lt;0,N(AI502)-1,-1),0)))</f>
        <v/>
      </c>
      <c r="AJ503" s="116">
        <f>IF(Z503="","",IFERROR(Z503/('Paramètres'!$C$9+SUM($X$5:X502)),""))</f>
        <v/>
      </c>
      <c r="AK503" s="109">
        <f>IF(AC503="Ouvert",COUNTIF($AC$6:AC503,"Ouvert"),"")</f>
        <v/>
      </c>
    </row>
    <row r="504" ht="19" customHeight="1">
      <c r="A504" s="104">
        <f>IF(B504="","",ROW()-5)</f>
        <v/>
      </c>
      <c r="B504" s="61" t="n"/>
      <c r="C504" s="61" t="n"/>
      <c r="D504" s="105" t="n"/>
      <c r="E504" s="49" t="n"/>
      <c r="F504" s="105" t="n"/>
      <c r="G504" s="49" t="n"/>
      <c r="H504" s="106" t="n"/>
      <c r="I504" s="107" t="n"/>
      <c r="J504" s="107" t="n"/>
      <c r="K504" s="107" t="n"/>
      <c r="L504" s="107" t="n"/>
      <c r="M504" s="106" t="n"/>
      <c r="N504" s="62" t="n"/>
      <c r="O504" s="49" t="n"/>
      <c r="P504" s="49" t="n"/>
      <c r="Q504" s="105" t="n"/>
      <c r="R504" s="105" t="n"/>
      <c r="S504" s="105" t="n"/>
      <c r="T504" s="105" t="n"/>
      <c r="U504" s="108">
        <f>IF(OR(H504="",I504="",I504=0),"",H504/I504)</f>
        <v/>
      </c>
      <c r="V504" s="109">
        <f>IF(OR(B504="",C504="",L504=""),"",MAX(0,C504-B504))</f>
        <v/>
      </c>
      <c r="W504" s="110">
        <f>IF(OR(L504="",U504=""),"",IF(E504="Short",(I504-L504)*U504,(L504-I504)*U504))</f>
        <v/>
      </c>
      <c r="X504" s="110">
        <f>IF(W504="","",W504-IF(M504="",0,M504))</f>
        <v/>
      </c>
      <c r="Y504" s="111">
        <f>IF(OR(X504="",H504="",H504=0),"",X504/H504)</f>
        <v/>
      </c>
      <c r="Z504" s="112">
        <f>IF(OR(I504="",J504="",U504=""),"",ABS(I504-J504)*U504)</f>
        <v/>
      </c>
      <c r="AA504" s="113">
        <f>IF(OR(X504="",Z504="",Z504=0),"",X504/Z504)</f>
        <v/>
      </c>
      <c r="AB504" s="114">
        <f>IF(OR(I504="",J504="",K504="",I504=J504),"",ABS(K504-I504)/ABS(I504-J504))</f>
        <v/>
      </c>
      <c r="AC504" s="51">
        <f>IF(OR(B504="",D504="",H504="",I504=""),"",IF(L504="","Ouvert",IF(X504&gt;0,"Gagné",IF(X504&lt;0,"Perdu","Neutre"))))</f>
        <v/>
      </c>
      <c r="AD504" s="115">
        <f>IF(X504="","",IF(C504="",B504,C504))</f>
        <v/>
      </c>
      <c r="AE504" s="109">
        <f>IF(B504="","",WEEKDAY(B504,2))</f>
        <v/>
      </c>
      <c r="AF504" s="112">
        <f>IF(X504="","",'Paramètres'!$C$9+SUM($X$6:X504))</f>
        <v/>
      </c>
      <c r="AG504" s="112">
        <f>IF(AF504="","",MAX('Paramètres'!$C$9,MAX($AF$6:AF504)))</f>
        <v/>
      </c>
      <c r="AH504" s="116">
        <f>IF(AF504="","",AF504/AG504-1)</f>
        <v/>
      </c>
      <c r="AI504" s="109">
        <f>IF(X504="","",IF(X504&gt;0,IF(N(AI503)&gt;0,N(AI503)+1,1),IF(X504&lt;0,IF(N(AI503)&lt;0,N(AI503)-1,-1),0)))</f>
        <v/>
      </c>
      <c r="AJ504" s="116">
        <f>IF(Z504="","",IFERROR(Z504/('Paramètres'!$C$9+SUM($X$5:X503)),""))</f>
        <v/>
      </c>
      <c r="AK504" s="109">
        <f>IF(AC504="Ouvert",COUNTIF($AC$6:AC504,"Ouvert"),"")</f>
        <v/>
      </c>
    </row>
    <row r="505" ht="19" customHeight="1">
      <c r="A505" s="104">
        <f>IF(B505="","",ROW()-5)</f>
        <v/>
      </c>
      <c r="B505" s="61" t="n"/>
      <c r="C505" s="61" t="n"/>
      <c r="D505" s="105" t="n"/>
      <c r="E505" s="49" t="n"/>
      <c r="F505" s="105" t="n"/>
      <c r="G505" s="49" t="n"/>
      <c r="H505" s="106" t="n"/>
      <c r="I505" s="107" t="n"/>
      <c r="J505" s="107" t="n"/>
      <c r="K505" s="107" t="n"/>
      <c r="L505" s="107" t="n"/>
      <c r="M505" s="106" t="n"/>
      <c r="N505" s="62" t="n"/>
      <c r="O505" s="49" t="n"/>
      <c r="P505" s="49" t="n"/>
      <c r="Q505" s="105" t="n"/>
      <c r="R505" s="105" t="n"/>
      <c r="S505" s="105" t="n"/>
      <c r="T505" s="105" t="n"/>
      <c r="U505" s="108">
        <f>IF(OR(H505="",I505="",I505=0),"",H505/I505)</f>
        <v/>
      </c>
      <c r="V505" s="109">
        <f>IF(OR(B505="",C505="",L505=""),"",MAX(0,C505-B505))</f>
        <v/>
      </c>
      <c r="W505" s="110">
        <f>IF(OR(L505="",U505=""),"",IF(E505="Short",(I505-L505)*U505,(L505-I505)*U505))</f>
        <v/>
      </c>
      <c r="X505" s="110">
        <f>IF(W505="","",W505-IF(M505="",0,M505))</f>
        <v/>
      </c>
      <c r="Y505" s="111">
        <f>IF(OR(X505="",H505="",H505=0),"",X505/H505)</f>
        <v/>
      </c>
      <c r="Z505" s="112">
        <f>IF(OR(I505="",J505="",U505=""),"",ABS(I505-J505)*U505)</f>
        <v/>
      </c>
      <c r="AA505" s="113">
        <f>IF(OR(X505="",Z505="",Z505=0),"",X505/Z505)</f>
        <v/>
      </c>
      <c r="AB505" s="114">
        <f>IF(OR(I505="",J505="",K505="",I505=J505),"",ABS(K505-I505)/ABS(I505-J505))</f>
        <v/>
      </c>
      <c r="AC505" s="51">
        <f>IF(OR(B505="",D505="",H505="",I505=""),"",IF(L505="","Ouvert",IF(X505&gt;0,"Gagné",IF(X505&lt;0,"Perdu","Neutre"))))</f>
        <v/>
      </c>
      <c r="AD505" s="115">
        <f>IF(X505="","",IF(C505="",B505,C505))</f>
        <v/>
      </c>
      <c r="AE505" s="109">
        <f>IF(B505="","",WEEKDAY(B505,2))</f>
        <v/>
      </c>
      <c r="AF505" s="112">
        <f>IF(X505="","",'Paramètres'!$C$9+SUM($X$6:X505))</f>
        <v/>
      </c>
      <c r="AG505" s="112">
        <f>IF(AF505="","",MAX('Paramètres'!$C$9,MAX($AF$6:AF505)))</f>
        <v/>
      </c>
      <c r="AH505" s="116">
        <f>IF(AF505="","",AF505/AG505-1)</f>
        <v/>
      </c>
      <c r="AI505" s="109">
        <f>IF(X505="","",IF(X505&gt;0,IF(N(AI504)&gt;0,N(AI504)+1,1),IF(X505&lt;0,IF(N(AI504)&lt;0,N(AI504)-1,-1),0)))</f>
        <v/>
      </c>
      <c r="AJ505" s="116">
        <f>IF(Z505="","",IFERROR(Z505/('Paramètres'!$C$9+SUM($X$5:X504)),""))</f>
        <v/>
      </c>
      <c r="AK505" s="109">
        <f>IF(AC505="Ouvert",COUNTIF($AC$6:AC505,"Ouvert"),"")</f>
        <v/>
      </c>
    </row>
  </sheetData>
  <autoFilter ref="A5:AH505"/>
  <mergeCells count="3">
    <mergeCell ref="A4:T4"/>
    <mergeCell ref="U4:AJ4"/>
    <mergeCell ref="AI2:AJ2"/>
  </mergeCells>
  <conditionalFormatting sqref="W6:W505">
    <cfRule type="cellIs" priority="1" operator="lessThan" dxfId="6">
      <formula>0</formula>
    </cfRule>
    <cfRule type="cellIs" priority="2" operator="greaterThan" dxfId="7">
      <formula>0</formula>
    </cfRule>
  </conditionalFormatting>
  <conditionalFormatting sqref="X6:X505">
    <cfRule type="cellIs" priority="3" operator="lessThan" dxfId="6">
      <formula>0</formula>
    </cfRule>
    <cfRule type="cellIs" priority="4" operator="greaterThan" dxfId="7">
      <formula>0</formula>
    </cfRule>
  </conditionalFormatting>
  <conditionalFormatting sqref="Y6:Y505">
    <cfRule type="cellIs" priority="5" operator="lessThan" dxfId="6">
      <formula>0</formula>
    </cfRule>
    <cfRule type="cellIs" priority="6" operator="greaterThan" dxfId="7">
      <formula>0</formula>
    </cfRule>
  </conditionalFormatting>
  <conditionalFormatting sqref="AA6:AA505">
    <cfRule type="cellIs" priority="7" operator="lessThan" dxfId="6">
      <formula>0</formula>
    </cfRule>
    <cfRule type="cellIs" priority="8" operator="greaterThan" dxfId="7">
      <formula>0</formula>
    </cfRule>
  </conditionalFormatting>
  <conditionalFormatting sqref="AC6:AC505">
    <cfRule type="cellIs" priority="9" operator="equal" dxfId="8">
      <formula>"Gagné"</formula>
    </cfRule>
    <cfRule type="cellIs" priority="10" operator="equal" dxfId="9">
      <formula>"Perdu"</formula>
    </cfRule>
    <cfRule type="cellIs" priority="11" operator="equal" dxfId="10">
      <formula>"Ouvert"</formula>
    </cfRule>
    <cfRule type="cellIs" priority="12" operator="equal" dxfId="11">
      <formula>"Neutre"</formula>
    </cfRule>
  </conditionalFormatting>
  <conditionalFormatting sqref="P6:P505">
    <cfRule type="cellIs" priority="13" operator="equal" dxfId="6">
      <formula>"Non"</formula>
    </cfRule>
  </conditionalFormatting>
  <conditionalFormatting sqref="N6:N505">
    <cfRule type="colorScale" priority="14">
      <colorScale>
        <cfvo type="num" val="0"/>
        <cfvo type="num" val="4"/>
        <cfvo type="num" val="8"/>
        <color rgb="00FEE2E2"/>
        <color rgb="00FEF9C3"/>
        <color rgb="00BBF7D0"/>
      </colorScale>
    </cfRule>
  </conditionalFormatting>
  <conditionalFormatting sqref="AH6:AH505">
    <cfRule type="cellIs" priority="15" operator="lessThan" dxfId="12">
      <formula>0</formula>
    </cfRule>
  </conditionalFormatting>
  <dataValidations count="10">
    <dataValidation sqref="E6:E505" showDropDown="0" showInputMessage="0" showErrorMessage="0" allowBlank="1" type="list">
      <formula1>"Long,Short"</formula1>
    </dataValidation>
    <dataValidation sqref="F6:F505" showDropDown="0" showInputMessage="0" showErrorMessage="0" allowBlank="1" type="list">
      <formula1>'Listes'!$B$6:$B$25</formula1>
    </dataValidation>
    <dataValidation sqref="G6:G505" showDropDown="0" showInputMessage="0" showErrorMessage="0" allowBlank="1" type="list">
      <formula1>'Listes'!$C$6:$C$25</formula1>
    </dataValidation>
    <dataValidation sqref="O6:O505" showDropDown="0" showInputMessage="0" showErrorMessage="0" allowBlank="1" type="list">
      <formula1>'Listes'!$D$6:$D$25</formula1>
    </dataValidation>
    <dataValidation sqref="P6:P505" showDropDown="0" showInputMessage="0" showErrorMessage="0" allowBlank="1" type="list">
      <formula1>"Oui,Non"</formula1>
    </dataValidation>
    <dataValidation sqref="Q6:Q505" showDropDown="0" showInputMessage="0" showErrorMessage="0" allowBlank="1" type="list">
      <formula1>'Listes'!$E$6:$E$25</formula1>
    </dataValidation>
    <dataValidation sqref="N6:N505" showDropDown="0" showInputMessage="0" showErrorMessage="1" allowBlank="1" errorTitle="Score" error="Le score est un entier de 0 à 8." type="whole" operator="between">
      <formula1>0</formula1>
      <formula2>8</formula2>
    </dataValidation>
    <dataValidation sqref="H6:L505" showDropDown="0" showInputMessage="0" showErrorMessage="1" allowBlank="1" errorTitle="Valeur invalide" error="Saisis un nombre positif." type="decimal" operator="greaterThan">
      <formula1>0</formula1>
    </dataValidation>
    <dataValidation sqref="M6:M505" showDropDown="0" showInputMessage="0" showErrorMessage="1" allowBlank="1" errorTitle="Valeur invalide" error="Saisis un nombre positif ou nul." type="decimal" operator="greaterThanOrEqual">
      <formula1>0</formula1>
    </dataValidation>
    <dataValidation sqref="B6:C505" showDropDown="0" showInputMessage="0" showErrorMessage="1" allowBlank="1" errorTitle="Date invalide" error="Saisis une date valide (jj/mm/aaaa)." type="date" operator="greaterThan">
      <formula1>36526</formula1>
    </dataValidation>
  </dataValidations>
  <hyperlinks>
    <hyperlink ref="AI2" location="'Accueil'!A1" display="Accueil"/>
  </hyperlinks>
  <printOptions horizontalCentered="1"/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3B82F6"/>
    <outlinePr summaryBelow="1" summaryRight="1"/>
    <pageSetUpPr fitToPage="1"/>
  </sheetPr>
  <dimension ref="A1:R202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4" customWidth="1" min="2" max="2"/>
    <col width="12" customWidth="1" min="3" max="3"/>
    <col width="12" customWidth="1" min="4" max="4"/>
    <col width="13" customWidth="1" min="5" max="5"/>
    <col width="12" customWidth="1" min="6" max="6"/>
    <col width="12" customWidth="1" min="7" max="7"/>
    <col width="13" customWidth="1" min="8" max="8"/>
    <col width="3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2" customWidth="1" min="18" max="18"/>
  </cols>
  <sheetData>
    <row r="1" ht="22" customHeight="1">
      <c r="A1" s="1" t="n"/>
      <c r="B1" s="2">
        <f>'Paramètres'!$C$7</f>
        <v/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</row>
    <row r="2" ht="30" customHeight="1">
      <c r="A2" s="1" t="n"/>
      <c r="B2" s="32" t="inlineStr">
        <is>
          <t>Analyse de performance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33" t="inlineStr">
        <is>
          <t>← Accueil</t>
        </is>
      </c>
      <c r="Q2" s="1" t="n"/>
      <c r="R2" s="1" t="n"/>
    </row>
    <row r="3" ht="18" customHeight="1">
      <c r="A3" s="1" t="n"/>
      <c r="B3" s="4" t="inlineStr">
        <is>
          <t>Statistiques complètes et répartitions : où tu gagnes, où tu perds, et pourquoi.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  <c r="P4" s="5" t="n"/>
      <c r="Q4" s="5" t="n"/>
      <c r="R4" s="5" t="n"/>
    </row>
    <row r="6" ht="24" customHeight="1">
      <c r="B6" s="14" t="inlineStr">
        <is>
          <t>STATISTIQUES CLÉS</t>
        </is>
      </c>
      <c r="C6" s="15" t="n"/>
      <c r="D6" s="15" t="n"/>
      <c r="E6" s="15" t="n"/>
      <c r="F6" s="15" t="n"/>
      <c r="G6" s="15" t="n"/>
      <c r="H6" s="15" t="n"/>
    </row>
    <row r="7">
      <c r="B7" s="117" t="inlineStr">
        <is>
          <t>Indicateur</t>
        </is>
      </c>
      <c r="C7" s="83" t="inlineStr">
        <is>
          <t>Valeur</t>
        </is>
      </c>
      <c r="D7" s="83" t="inlineStr">
        <is>
          <t>Repère</t>
        </is>
      </c>
      <c r="E7" s="83" t="n"/>
      <c r="F7" s="83" t="n"/>
      <c r="G7" s="83" t="inlineStr">
        <is>
          <t>Évaluation</t>
        </is>
      </c>
      <c r="H7" s="83" t="n"/>
    </row>
    <row r="8" ht="21" customHeight="1">
      <c r="B8" s="118" t="inlineStr">
        <is>
          <t>Capital de départ</t>
        </is>
      </c>
      <c r="C8" s="119">
        <f>'Paramètres'!$C$9</f>
        <v/>
      </c>
      <c r="D8" s="120" t="inlineStr"/>
      <c r="E8" s="120" t="n"/>
      <c r="F8" s="120" t="n"/>
      <c r="G8" s="121" t="n"/>
      <c r="H8" s="121" t="n"/>
    </row>
    <row r="9" ht="21" customHeight="1">
      <c r="B9" s="122" t="inlineStr">
        <is>
          <t>P&amp;L net cumulé</t>
        </is>
      </c>
      <c r="C9" s="123">
        <f>SUM('Journal'!$X$6:$X$505)</f>
        <v/>
      </c>
      <c r="D9" s="124" t="inlineStr">
        <is>
          <t>Après frais renseignés</t>
        </is>
      </c>
      <c r="E9" s="124" t="n"/>
      <c r="F9" s="124" t="n"/>
      <c r="G9" s="125" t="n"/>
      <c r="H9" s="125" t="n"/>
    </row>
    <row r="10" ht="21" customHeight="1">
      <c r="B10" s="118" t="inlineStr">
        <is>
          <t>Capital actuel</t>
        </is>
      </c>
      <c r="C10" s="119">
        <f>$C$8+$C$9</f>
        <v/>
      </c>
      <c r="D10" s="120" t="inlineStr">
        <is>
          <t>Départ + P&amp;L des trades clôturés</t>
        </is>
      </c>
      <c r="E10" s="120" t="n"/>
      <c r="F10" s="120" t="n"/>
      <c r="G10" s="121" t="n"/>
      <c r="H10" s="121" t="n"/>
    </row>
    <row r="11" ht="21" customHeight="1">
      <c r="B11" s="122" t="inlineStr">
        <is>
          <t>Rendement total</t>
        </is>
      </c>
      <c r="C11" s="126">
        <f>IF($C$8=0,0,$C$9/$C$8)</f>
        <v/>
      </c>
      <c r="D11" s="124" t="inlineStr"/>
      <c r="E11" s="124" t="n"/>
      <c r="F11" s="124" t="n"/>
      <c r="G11" s="125" t="n"/>
      <c r="H11" s="125" t="n"/>
    </row>
    <row r="12" ht="21" customHeight="1">
      <c r="B12" s="118" t="inlineStr">
        <is>
          <t>Trades clôturés</t>
        </is>
      </c>
      <c r="C12" s="127">
        <f>COUNT('Journal'!$X$6:$X$505)</f>
        <v/>
      </c>
      <c r="D12" s="120" t="inlineStr">
        <is>
          <t>Minimum 30 pour des statistiques fiables</t>
        </is>
      </c>
      <c r="E12" s="120" t="n"/>
      <c r="F12" s="120" t="n"/>
      <c r="G12" s="121" t="n"/>
      <c r="H12" s="121" t="n"/>
    </row>
    <row r="13" ht="21" customHeight="1">
      <c r="B13" s="122" t="inlineStr">
        <is>
          <t>Positions ouvertes</t>
        </is>
      </c>
      <c r="C13" s="128">
        <f>COUNTIF('Journal'!$AC$6:$AC$505,"Ouvert")</f>
        <v/>
      </c>
      <c r="D13" s="124" t="inlineStr"/>
      <c r="E13" s="124" t="n"/>
      <c r="F13" s="124" t="n"/>
      <c r="G13" s="125" t="n"/>
      <c r="H13" s="125" t="n"/>
    </row>
    <row r="14" ht="21" customHeight="1">
      <c r="B14" s="118" t="inlineStr">
        <is>
          <t>Trades gagnants</t>
        </is>
      </c>
      <c r="C14" s="127">
        <f>COUNTIF('Journal'!$X$6:$X$505,"&gt;0")</f>
        <v/>
      </c>
      <c r="D14" s="120" t="inlineStr"/>
      <c r="E14" s="120" t="n"/>
      <c r="F14" s="120" t="n"/>
      <c r="G14" s="121" t="n"/>
      <c r="H14" s="121" t="n"/>
    </row>
    <row r="15" ht="21" customHeight="1">
      <c r="B15" s="122" t="inlineStr">
        <is>
          <t>Trades perdants</t>
        </is>
      </c>
      <c r="C15" s="128">
        <f>COUNTIF('Journal'!$X$6:$X$505,"&lt;0")</f>
        <v/>
      </c>
      <c r="D15" s="124" t="inlineStr"/>
      <c r="E15" s="124" t="n"/>
      <c r="F15" s="124" t="n"/>
      <c r="G15" s="125" t="n"/>
      <c r="H15" s="125" t="n"/>
    </row>
    <row r="16" ht="21" customHeight="1">
      <c r="B16" s="118" t="inlineStr">
        <is>
          <t>Taux de réussite</t>
        </is>
      </c>
      <c r="C16" s="129">
        <f>IF($C$12=0,0,$C$14/$C$12)</f>
        <v/>
      </c>
      <c r="D16" s="120" t="inlineStr">
        <is>
          <t>À lire avec le ratio gain / perte</t>
        </is>
      </c>
      <c r="E16" s="120" t="n"/>
      <c r="F16" s="120" t="n"/>
      <c r="G16" s="121" t="n"/>
      <c r="H16" s="121" t="n"/>
    </row>
    <row r="17" ht="21" customHeight="1">
      <c r="B17" s="122" t="inlineStr">
        <is>
          <t>Gains bruts cumulés</t>
        </is>
      </c>
      <c r="C17" s="130">
        <f>SUMIF('Journal'!$X$6:$X$505,"&gt;0")</f>
        <v/>
      </c>
      <c r="D17" s="124" t="inlineStr"/>
      <c r="E17" s="124" t="n"/>
      <c r="F17" s="124" t="n"/>
      <c r="G17" s="125" t="n"/>
      <c r="H17" s="125" t="n"/>
    </row>
    <row r="18" ht="21" customHeight="1">
      <c r="B18" s="118" t="inlineStr">
        <is>
          <t>Pertes brutes cumulées</t>
        </is>
      </c>
      <c r="C18" s="119">
        <f>SUMIF('Journal'!$X$6:$X$505,"&lt;0")</f>
        <v/>
      </c>
      <c r="D18" s="120" t="inlineStr"/>
      <c r="E18" s="120" t="n"/>
      <c r="F18" s="120" t="n"/>
      <c r="G18" s="121" t="n"/>
      <c r="H18" s="121" t="n"/>
    </row>
    <row r="19" ht="21" customHeight="1">
      <c r="B19" s="122" t="inlineStr">
        <is>
          <t>Profit Factor</t>
        </is>
      </c>
      <c r="C19" s="131">
        <f>IF($C$12=0,0,IF($C$18=0,IF($C$17&gt;0,"∞",0),$C$17/ABS($C$18)))</f>
        <v/>
      </c>
      <c r="D19" s="124" t="inlineStr">
        <is>
          <t>&gt; 1,5 solide · &lt; 1 perdant</t>
        </is>
      </c>
      <c r="E19" s="124" t="n"/>
      <c r="F19" s="124" t="n"/>
      <c r="G19" s="125">
        <f>IF($C$12&lt;10,"—",IF(ISNUMBER($C$19),IF($C$19&gt;=1.5,"Solide",IF($C$19&gt;=1,"Correct","À améliorer")),"Solide"))</f>
        <v/>
      </c>
      <c r="H19" s="125" t="n"/>
    </row>
    <row r="20" ht="21" customHeight="1">
      <c r="B20" s="118" t="inlineStr">
        <is>
          <t>Gain moyen</t>
        </is>
      </c>
      <c r="C20" s="119">
        <f>IF($C$14=0,0,$C$17/$C$14)</f>
        <v/>
      </c>
      <c r="D20" s="120" t="inlineStr"/>
      <c r="E20" s="120" t="n"/>
      <c r="F20" s="120" t="n"/>
      <c r="G20" s="121" t="n"/>
      <c r="H20" s="121" t="n"/>
    </row>
    <row r="21" ht="21" customHeight="1">
      <c r="B21" s="122" t="inlineStr">
        <is>
          <t>Perte moyenne</t>
        </is>
      </c>
      <c r="C21" s="130">
        <f>IF($C$15=0,0,$C$18/$C$15)</f>
        <v/>
      </c>
      <c r="D21" s="124" t="inlineStr"/>
      <c r="E21" s="124" t="n"/>
      <c r="F21" s="124" t="n"/>
      <c r="G21" s="125" t="n"/>
      <c r="H21" s="125" t="n"/>
    </row>
    <row r="22" ht="21" customHeight="1">
      <c r="B22" s="118" t="inlineStr">
        <is>
          <t>Ratio gain / perte moyen</t>
        </is>
      </c>
      <c r="C22" s="132">
        <f>IF($C$21=0,0,$C$20/ABS($C$21))</f>
        <v/>
      </c>
      <c r="D22" s="120" t="inlineStr">
        <is>
          <t>&gt; 1,5 confortable</t>
        </is>
      </c>
      <c r="E22" s="120" t="n"/>
      <c r="F22" s="120" t="n"/>
      <c r="G22" s="121">
        <f>IF($C$12&lt;10,"—",IF($C$22&gt;=1.5,"Solide",IF($C$22&gt;=1,"Correct","À améliorer")))</f>
        <v/>
      </c>
      <c r="H22" s="121" t="n"/>
    </row>
    <row r="23" ht="21" customHeight="1">
      <c r="B23" s="122" t="inlineStr">
        <is>
          <t>Espérance par trade</t>
        </is>
      </c>
      <c r="C23" s="123">
        <f>IF($C$12=0,0,$C$9/$C$12)</f>
        <v/>
      </c>
      <c r="D23" s="124" t="inlineStr">
        <is>
          <t>P&amp;L net moyen par trade clôturé</t>
        </is>
      </c>
      <c r="E23" s="124" t="n"/>
      <c r="F23" s="124" t="n"/>
      <c r="G23" s="125" t="n"/>
      <c r="H23" s="125" t="n"/>
    </row>
    <row r="24" ht="21" customHeight="1">
      <c r="B24" s="118" t="inlineStr">
        <is>
          <t>R moyen (espérance en R)</t>
        </is>
      </c>
      <c r="C24" s="133">
        <f>IFERROR(AVERAGE('Journal'!$AA$6:$AA$505),0)</f>
        <v/>
      </c>
      <c r="D24" s="120" t="inlineStr">
        <is>
          <t>&gt; 0,3 R solide</t>
        </is>
      </c>
      <c r="E24" s="120" t="n"/>
      <c r="F24" s="120" t="n"/>
      <c r="G24" s="121">
        <f>IF($C$12&lt;10,"—",IF($C$24&gt;=0.3,"Solide",IF($C$24&gt;0,"Correct","À améliorer")))</f>
        <v/>
      </c>
      <c r="H24" s="121" t="n"/>
    </row>
    <row r="25" ht="21" customHeight="1">
      <c r="B25" s="122" t="inlineStr">
        <is>
          <t>SQN (qualité du système)</t>
        </is>
      </c>
      <c r="C25" s="131">
        <f>IFERROR(SQRT(COUNT('Journal'!$AA$6:$AA$505))*AVERAGE('Journal'!$AA$6:$AA$505)/STDEV('Journal'!$AA$6:$AA$505),0)</f>
        <v/>
      </c>
      <c r="D25" s="124" t="inlineStr">
        <is>
          <t>&gt; 2,5 bon · 1,6 – 2,5 moyen</t>
        </is>
      </c>
      <c r="E25" s="124" t="n"/>
      <c r="F25" s="124" t="n"/>
      <c r="G25" s="125">
        <f>IF($C$12&lt;30,"—",IF($C$25&gt;=2.5,"Solide",IF($C$25&gt;=1.6,"Correct","À améliorer")))</f>
        <v/>
      </c>
      <c r="H25" s="125" t="n"/>
    </row>
    <row r="26" ht="21" customHeight="1">
      <c r="B26" s="118" t="inlineStr">
        <is>
          <t>Meilleur trade</t>
        </is>
      </c>
      <c r="C26" s="134">
        <f>IF($C$12=0,0,MAX('Journal'!$X$6:$X$505))</f>
        <v/>
      </c>
      <c r="D26" s="120" t="inlineStr"/>
      <c r="E26" s="120" t="n"/>
      <c r="F26" s="120" t="n"/>
      <c r="G26" s="121" t="n"/>
      <c r="H26" s="121" t="n"/>
    </row>
    <row r="27" ht="21" customHeight="1">
      <c r="B27" s="122" t="inlineStr">
        <is>
          <t>Pire trade</t>
        </is>
      </c>
      <c r="C27" s="123">
        <f>IF($C$12=0,0,MIN('Journal'!$X$6:$X$505))</f>
        <v/>
      </c>
      <c r="D27" s="124" t="inlineStr"/>
      <c r="E27" s="124" t="n"/>
      <c r="F27" s="124" t="n"/>
      <c r="G27" s="125" t="n"/>
      <c r="H27" s="125" t="n"/>
    </row>
    <row r="28" ht="21" customHeight="1">
      <c r="B28" s="118" t="inlineStr">
        <is>
          <t>Série gagnante max</t>
        </is>
      </c>
      <c r="C28" s="127">
        <f>MAX(0,MAX('Journal'!$AI$6:$AI$505))</f>
        <v/>
      </c>
      <c r="D28" s="120" t="inlineStr">
        <is>
          <t>Trades consécutifs</t>
        </is>
      </c>
      <c r="E28" s="120" t="n"/>
      <c r="F28" s="120" t="n"/>
      <c r="G28" s="121" t="n"/>
      <c r="H28" s="121" t="n"/>
    </row>
    <row r="29" ht="21" customHeight="1">
      <c r="B29" s="122" t="inlineStr">
        <is>
          <t>Série perdante max</t>
        </is>
      </c>
      <c r="C29" s="128">
        <f>MAX(0,-MIN('Journal'!$AI$6:$AI$505))</f>
        <v/>
      </c>
      <c r="D29" s="124" t="inlineStr">
        <is>
          <t>Trades consécutifs</t>
        </is>
      </c>
      <c r="E29" s="124" t="n"/>
      <c r="F29" s="124" t="n"/>
      <c r="G29" s="125" t="n"/>
      <c r="H29" s="125" t="n"/>
    </row>
    <row r="30" hidden="1" ht="21" customHeight="1">
      <c r="B30" s="118" t="inlineStr">
        <is>
          <t>Dernière ligne clôturée</t>
        </is>
      </c>
      <c r="C30" s="127">
        <f>SUMPRODUCT(MAX(ISNUMBER('Journal'!$X$6:$X$505)*(ROW('Journal'!$X$6:$X$505)-5)))</f>
        <v/>
      </c>
      <c r="D30" s="120" t="inlineStr">
        <is>
          <t>Technique</t>
        </is>
      </c>
      <c r="E30" s="120" t="n"/>
      <c r="F30" s="120" t="n"/>
      <c r="G30" s="121" t="n"/>
      <c r="H30" s="121" t="n"/>
    </row>
    <row r="31" ht="21" customHeight="1">
      <c r="B31" s="122" t="inlineStr">
        <is>
          <t>Série en cours</t>
        </is>
      </c>
      <c r="C31" s="135">
        <f>IF($C$30=0,0,N(INDEX('Journal'!$AI$6:$AI$505,$C$30)))</f>
        <v/>
      </c>
      <c r="D31" s="124" t="inlineStr">
        <is>
          <t>Positif = gains, négatif = pertes</t>
        </is>
      </c>
      <c r="E31" s="124" t="n"/>
      <c r="F31" s="124" t="n"/>
      <c r="G31" s="125" t="n"/>
      <c r="H31" s="125" t="n"/>
    </row>
    <row r="32" ht="21" customHeight="1">
      <c r="B32" s="118" t="inlineStr">
        <is>
          <t>Drawdown maximal</t>
        </is>
      </c>
      <c r="C32" s="129">
        <f>IFERROR(-MIN('Journal'!$AH$6:$AH$505),0)</f>
        <v/>
      </c>
      <c r="D32" s="120" t="inlineStr">
        <is>
          <t>&lt; 10 % solide</t>
        </is>
      </c>
      <c r="E32" s="120" t="n"/>
      <c r="F32" s="120" t="n"/>
      <c r="G32" s="121">
        <f>IF($C$12&lt;1,"—",IF($C$32&lt;=0.1,"Solide",IF($C$32&lt;='Paramètres'!$C$21,"Correct","À améliorer")))</f>
        <v/>
      </c>
      <c r="H32" s="121" t="n"/>
    </row>
    <row r="33" ht="21" customHeight="1">
      <c r="B33" s="122" t="inlineStr">
        <is>
          <t>Drawdown actuel</t>
        </is>
      </c>
      <c r="C33" s="136">
        <f>IF($C$30=0,0,-N(INDEX('Journal'!$AH$6:$AH$505,$C$30)))</f>
        <v/>
      </c>
      <c r="D33" s="124" t="inlineStr">
        <is>
          <t>Écart au plus haut de capital</t>
        </is>
      </c>
      <c r="E33" s="124" t="n"/>
      <c r="F33" s="124" t="n"/>
      <c r="G33" s="125" t="n"/>
      <c r="H33" s="125" t="n"/>
    </row>
    <row r="34" ht="21" customHeight="1">
      <c r="B34" s="118" t="inlineStr">
        <is>
          <t>Durée moyenne des trades (jours)</t>
        </is>
      </c>
      <c r="C34" s="137">
        <f>IFERROR(AVERAGE('Journal'!$V$6:$V$505),0)</f>
        <v/>
      </c>
      <c r="D34" s="120" t="inlineStr"/>
      <c r="E34" s="120" t="n"/>
      <c r="F34" s="120" t="n"/>
      <c r="G34" s="121" t="n"/>
      <c r="H34" s="121" t="n"/>
    </row>
    <row r="35" ht="21" customHeight="1">
      <c r="B35" s="122" t="inlineStr">
        <is>
          <t>R:R prévu moyen</t>
        </is>
      </c>
      <c r="C35" s="131">
        <f>IFERROR(AVERAGE('Journal'!$AB$6:$AB$505),0)</f>
        <v/>
      </c>
      <c r="D35" s="124" t="inlineStr">
        <is>
          <t>Minimum visé : voir Paramètres</t>
        </is>
      </c>
      <c r="E35" s="124" t="n"/>
      <c r="F35" s="124" t="n"/>
      <c r="G35" s="125" t="n"/>
      <c r="H35" s="125" t="n"/>
    </row>
    <row r="36" hidden="1" ht="21" customHeight="1">
      <c r="B36" s="118" t="inlineStr">
        <is>
          <t>Trades avec risque mesuré</t>
        </is>
      </c>
      <c r="C36" s="127">
        <f>COUNT('Journal'!$AJ$6:$AJ$505)</f>
        <v/>
      </c>
      <c r="D36" s="120" t="inlineStr">
        <is>
          <t>Technique</t>
        </is>
      </c>
      <c r="E36" s="120" t="n"/>
      <c r="F36" s="120" t="n"/>
      <c r="G36" s="121" t="n"/>
      <c r="H36" s="121" t="n"/>
    </row>
    <row r="37" ht="21" customHeight="1">
      <c r="B37" s="122" t="inlineStr">
        <is>
          <t>Risque moyen par trade</t>
        </is>
      </c>
      <c r="C37" s="136">
        <f>IFERROR(AVERAGE('Journal'!$AJ$6:$AJ$505),0)</f>
        <v/>
      </c>
      <c r="D37" s="124" t="inlineStr">
        <is>
          <t>En % du capital avant le trade</t>
        </is>
      </c>
      <c r="E37" s="124" t="n"/>
      <c r="F37" s="124" t="n"/>
      <c r="G37" s="125" t="n"/>
      <c r="H37" s="125" t="n"/>
    </row>
    <row r="38" ht="21" customHeight="1">
      <c r="B38" s="118" t="inlineStr">
        <is>
          <t>Risque maximal pris</t>
        </is>
      </c>
      <c r="C38" s="129">
        <f>MAX('Journal'!$AJ$6:$AJ$505)</f>
        <v/>
      </c>
      <c r="D38" s="120" t="inlineStr">
        <is>
          <t>Doit rester sous ta limite</t>
        </is>
      </c>
      <c r="E38" s="120" t="n"/>
      <c r="F38" s="120" t="n"/>
      <c r="G38" s="121">
        <f>IF($C$36=0,"—",IF($C$38&lt;='Paramètres'!$C$16*1.1,"Solide","À améliorer"))</f>
        <v/>
      </c>
      <c r="H38" s="121" t="n"/>
    </row>
    <row r="39" hidden="1" ht="21" customHeight="1">
      <c r="B39" s="122" t="inlineStr">
        <is>
          <t>Trades avec statut de plan renseigné</t>
        </is>
      </c>
      <c r="C39" s="128">
        <f>COUNTIFS('Journal'!$P$6:$P$505,"Oui",'Journal'!$X$6:$X$505,"&gt;-999999999")+COUNTIFS('Journal'!$P$6:$P$505,"Non",'Journal'!$X$6:$X$505,"&gt;-999999999")</f>
        <v/>
      </c>
      <c r="D39" s="124" t="inlineStr">
        <is>
          <t>Technique</t>
        </is>
      </c>
      <c r="E39" s="124" t="n"/>
      <c r="F39" s="124" t="n"/>
      <c r="G39" s="125" t="n"/>
      <c r="H39" s="125" t="n"/>
    </row>
    <row r="40" ht="21" customHeight="1">
      <c r="B40" s="118" t="inlineStr">
        <is>
          <t>Respect du plan</t>
        </is>
      </c>
      <c r="C40" s="129">
        <f>IF($C$39=0,0,COUNTIFS('Journal'!$P$6:$P$505,"Oui",'Journal'!$X$6:$X$505,"&gt;-999999999")/$C$39)</f>
        <v/>
      </c>
      <c r="D40" s="120" t="inlineStr">
        <is>
          <t>&gt; 90 % solide</t>
        </is>
      </c>
      <c r="E40" s="120" t="n"/>
      <c r="F40" s="120" t="n"/>
      <c r="G40" s="121">
        <f>IF($C$39=0,"—",IF($C$40&gt;=0.9,"Solide",IF($C$40&gt;=0.7,"Correct","À améliorer")))</f>
        <v/>
      </c>
      <c r="H40" s="121" t="n"/>
    </row>
    <row r="41" ht="21" customHeight="1">
      <c r="B41" s="122" t="inlineStr">
        <is>
          <t>Score moyen de checklist</t>
        </is>
      </c>
      <c r="C41" s="138">
        <f>IFERROR(AVERAGE('Journal'!$N$6:$N$505),0)</f>
        <v/>
      </c>
      <c r="D41" s="124" t="inlineStr">
        <is>
          <t>Sur 8</t>
        </is>
      </c>
      <c r="E41" s="124" t="n"/>
      <c r="F41" s="124" t="n"/>
      <c r="G41" s="125" t="n"/>
      <c r="H41" s="125" t="n"/>
    </row>
    <row r="42" ht="21" customHeight="1">
      <c r="B42" s="118" t="inlineStr">
        <is>
          <t>Frais cumulés</t>
        </is>
      </c>
      <c r="C42" s="119">
        <f>SUM('Journal'!$M$6:$M$505)</f>
        <v/>
      </c>
      <c r="D42" s="120" t="inlineStr"/>
      <c r="E42" s="120" t="n"/>
      <c r="F42" s="120" t="n"/>
      <c r="G42" s="121" t="n"/>
      <c r="H42" s="121" t="n"/>
    </row>
    <row r="43" ht="21" customHeight="1">
      <c r="B43" s="122" t="inlineStr">
        <is>
          <t>Kelly (valeur théorique)</t>
        </is>
      </c>
      <c r="C43" s="136">
        <f>IF(OR($C$22=0,$C$12&lt;1),0,MAX(0,$C$16-(1-$C$16)/$C$22))</f>
        <v/>
      </c>
      <c r="D43" s="124" t="inlineStr">
        <is>
          <t>Ne jamais risquer cette valeur entière</t>
        </is>
      </c>
      <c r="E43" s="124" t="n"/>
      <c r="F43" s="124" t="n"/>
      <c r="G43" s="125" t="n"/>
      <c r="H43" s="125" t="n"/>
    </row>
    <row r="44" ht="21" customHeight="1">
      <c r="B44" s="118" t="inlineStr">
        <is>
          <t>Quart de Kelly (repère)</t>
        </is>
      </c>
      <c r="C44" s="129">
        <f>$C$43/4</f>
        <v/>
      </c>
      <c r="D44" s="120" t="inlineStr">
        <is>
          <t>Plafond prudent de risque par trade</t>
        </is>
      </c>
      <c r="E44" s="120" t="n"/>
      <c r="F44" s="120" t="n"/>
      <c r="G44" s="121" t="n"/>
      <c r="H44" s="121" t="n"/>
    </row>
    <row r="47" ht="24" customHeight="1">
      <c r="B47" s="14" t="inlineStr">
        <is>
          <t>PAR SETUP</t>
        </is>
      </c>
      <c r="C47" s="15" t="n"/>
      <c r="D47" s="15" t="n"/>
      <c r="E47" s="15" t="n"/>
      <c r="F47" s="15" t="n"/>
      <c r="G47" s="15" t="n"/>
      <c r="H47" s="15" t="n"/>
    </row>
    <row r="48" ht="26" customHeight="1">
      <c r="B48" s="117" t="inlineStr">
        <is>
          <t>Setup</t>
        </is>
      </c>
      <c r="C48" s="83" t="inlineStr">
        <is>
          <t>Trades</t>
        </is>
      </c>
      <c r="D48" s="83" t="inlineStr">
        <is>
          <t>Réussite</t>
        </is>
      </c>
      <c r="E48" s="83" t="inlineStr">
        <is>
          <t>P&amp;L net</t>
        </is>
      </c>
      <c r="F48" s="83" t="inlineStr">
        <is>
          <t>R moyen</t>
        </is>
      </c>
      <c r="G48" s="83" t="inlineStr">
        <is>
          <t>Profit F.</t>
        </is>
      </c>
      <c r="H48" s="83" t="inlineStr">
        <is>
          <t>Espérance</t>
        </is>
      </c>
    </row>
    <row r="49" ht="20" customHeight="1">
      <c r="B49" s="139">
        <f>IF('Listes'!B6="","",'Listes'!B6)</f>
        <v/>
      </c>
      <c r="C49" s="109">
        <f>IF($B49="","",COUNTIFS('Journal'!$F$6:$F$505,$B49,'Journal'!$X$6:$X$505,"&gt;-999999999"))</f>
        <v/>
      </c>
      <c r="D49" s="140">
        <f>IF($B49="","",IF(C49=0,0,COUNTIFS('Journal'!$F$6:$F$505,$B49,'Journal'!$X$6:$X$505,"&gt;0")/C49))</f>
        <v/>
      </c>
      <c r="E49" s="141">
        <f>IF($B49="","",SUMIFS('Journal'!$X$6:$X$505,'Journal'!$F$6:$F$505,$B49))</f>
        <v/>
      </c>
      <c r="F49" s="142">
        <f>IF($B49="","",IFERROR(AVERAGEIFS('Journal'!$AA$6:$AA$505,'Journal'!$F$6:$F$505,$B49),0))</f>
        <v/>
      </c>
      <c r="G49" s="143">
        <f>IF($B49="","",IF(C49=0,0,IF(SUMIFS('Journal'!$X$6:$X$505,'Journal'!$F$6:$F$505,$B49,'Journal'!$X$6:$X$505,"&lt;0")=0,IF(SUMIFS('Journal'!$X$6:$X$505,'Journal'!$F$6:$F$505,$B49,'Journal'!$X$6:$X$505,"&gt;0")&gt;0,"∞",0),SUMIFS('Journal'!$X$6:$X$505,'Journal'!$F$6:$F$505,$B49,'Journal'!$X$6:$X$505,"&gt;0")/ABS(SUMIFS('Journal'!$X$6:$X$505,'Journal'!$F$6:$F$505,$B49,'Journal'!$X$6:$X$505,"&lt;0")))))</f>
        <v/>
      </c>
      <c r="H49" s="144">
        <f>IF($B49="","",IF(C49=0,0,E49/C49))</f>
        <v/>
      </c>
    </row>
    <row r="50" ht="20" customHeight="1">
      <c r="B50" s="145">
        <f>IF('Listes'!B7="","",'Listes'!B7)</f>
        <v/>
      </c>
      <c r="C50" s="146">
        <f>IF($B50="","",COUNTIFS('Journal'!$F$6:$F$505,$B50,'Journal'!$X$6:$X$505,"&gt;-999999999"))</f>
        <v/>
      </c>
      <c r="D50" s="147">
        <f>IF($B50="","",IF(C50=0,0,COUNTIFS('Journal'!$F$6:$F$505,$B50,'Journal'!$X$6:$X$505,"&gt;0")/C50))</f>
        <v/>
      </c>
      <c r="E50" s="148">
        <f>IF($B50="","",SUMIFS('Journal'!$X$6:$X$505,'Journal'!$F$6:$F$505,$B50))</f>
        <v/>
      </c>
      <c r="F50" s="149">
        <f>IF($B50="","",IFERROR(AVERAGEIFS('Journal'!$AA$6:$AA$505,'Journal'!$F$6:$F$505,$B50),0))</f>
        <v/>
      </c>
      <c r="G50" s="150">
        <f>IF($B50="","",IF(C50=0,0,IF(SUMIFS('Journal'!$X$6:$X$505,'Journal'!$F$6:$F$505,$B50,'Journal'!$X$6:$X$505,"&lt;0")=0,IF(SUMIFS('Journal'!$X$6:$X$505,'Journal'!$F$6:$F$505,$B50,'Journal'!$X$6:$X$505,"&gt;0")&gt;0,"∞",0),SUMIFS('Journal'!$X$6:$X$505,'Journal'!$F$6:$F$505,$B50,'Journal'!$X$6:$X$505,"&gt;0")/ABS(SUMIFS('Journal'!$X$6:$X$505,'Journal'!$F$6:$F$505,$B50,'Journal'!$X$6:$X$505,"&lt;0")))))</f>
        <v/>
      </c>
      <c r="H50" s="151">
        <f>IF($B50="","",IF(C50=0,0,E50/C50))</f>
        <v/>
      </c>
    </row>
    <row r="51" ht="20" customHeight="1">
      <c r="B51" s="139">
        <f>IF('Listes'!B8="","",'Listes'!B8)</f>
        <v/>
      </c>
      <c r="C51" s="109">
        <f>IF($B51="","",COUNTIFS('Journal'!$F$6:$F$505,$B51,'Journal'!$X$6:$X$505,"&gt;-999999999"))</f>
        <v/>
      </c>
      <c r="D51" s="140">
        <f>IF($B51="","",IF(C51=0,0,COUNTIFS('Journal'!$F$6:$F$505,$B51,'Journal'!$X$6:$X$505,"&gt;0")/C51))</f>
        <v/>
      </c>
      <c r="E51" s="141">
        <f>IF($B51="","",SUMIFS('Journal'!$X$6:$X$505,'Journal'!$F$6:$F$505,$B51))</f>
        <v/>
      </c>
      <c r="F51" s="142">
        <f>IF($B51="","",IFERROR(AVERAGEIFS('Journal'!$AA$6:$AA$505,'Journal'!$F$6:$F$505,$B51),0))</f>
        <v/>
      </c>
      <c r="G51" s="143">
        <f>IF($B51="","",IF(C51=0,0,IF(SUMIFS('Journal'!$X$6:$X$505,'Journal'!$F$6:$F$505,$B51,'Journal'!$X$6:$X$505,"&lt;0")=0,IF(SUMIFS('Journal'!$X$6:$X$505,'Journal'!$F$6:$F$505,$B51,'Journal'!$X$6:$X$505,"&gt;0")&gt;0,"∞",0),SUMIFS('Journal'!$X$6:$X$505,'Journal'!$F$6:$F$505,$B51,'Journal'!$X$6:$X$505,"&gt;0")/ABS(SUMIFS('Journal'!$X$6:$X$505,'Journal'!$F$6:$F$505,$B51,'Journal'!$X$6:$X$505,"&lt;0")))))</f>
        <v/>
      </c>
      <c r="H51" s="144">
        <f>IF($B51="","",IF(C51=0,0,E51/C51))</f>
        <v/>
      </c>
    </row>
    <row r="52" ht="20" customHeight="1">
      <c r="B52" s="145">
        <f>IF('Listes'!B9="","",'Listes'!B9)</f>
        <v/>
      </c>
      <c r="C52" s="146">
        <f>IF($B52="","",COUNTIFS('Journal'!$F$6:$F$505,$B52,'Journal'!$X$6:$X$505,"&gt;-999999999"))</f>
        <v/>
      </c>
      <c r="D52" s="147">
        <f>IF($B52="","",IF(C52=0,0,COUNTIFS('Journal'!$F$6:$F$505,$B52,'Journal'!$X$6:$X$505,"&gt;0")/C52))</f>
        <v/>
      </c>
      <c r="E52" s="148">
        <f>IF($B52="","",SUMIFS('Journal'!$X$6:$X$505,'Journal'!$F$6:$F$505,$B52))</f>
        <v/>
      </c>
      <c r="F52" s="149">
        <f>IF($B52="","",IFERROR(AVERAGEIFS('Journal'!$AA$6:$AA$505,'Journal'!$F$6:$F$505,$B52),0))</f>
        <v/>
      </c>
      <c r="G52" s="150">
        <f>IF($B52="","",IF(C52=0,0,IF(SUMIFS('Journal'!$X$6:$X$505,'Journal'!$F$6:$F$505,$B52,'Journal'!$X$6:$X$505,"&lt;0")=0,IF(SUMIFS('Journal'!$X$6:$X$505,'Journal'!$F$6:$F$505,$B52,'Journal'!$X$6:$X$505,"&gt;0")&gt;0,"∞",0),SUMIFS('Journal'!$X$6:$X$505,'Journal'!$F$6:$F$505,$B52,'Journal'!$X$6:$X$505,"&gt;0")/ABS(SUMIFS('Journal'!$X$6:$X$505,'Journal'!$F$6:$F$505,$B52,'Journal'!$X$6:$X$505,"&lt;0")))))</f>
        <v/>
      </c>
      <c r="H52" s="151">
        <f>IF($B52="","",IF(C52=0,0,E52/C52))</f>
        <v/>
      </c>
    </row>
    <row r="53" ht="20" customHeight="1">
      <c r="B53" s="139">
        <f>IF('Listes'!B10="","",'Listes'!B10)</f>
        <v/>
      </c>
      <c r="C53" s="109">
        <f>IF($B53="","",COUNTIFS('Journal'!$F$6:$F$505,$B53,'Journal'!$X$6:$X$505,"&gt;-999999999"))</f>
        <v/>
      </c>
      <c r="D53" s="140">
        <f>IF($B53="","",IF(C53=0,0,COUNTIFS('Journal'!$F$6:$F$505,$B53,'Journal'!$X$6:$X$505,"&gt;0")/C53))</f>
        <v/>
      </c>
      <c r="E53" s="141">
        <f>IF($B53="","",SUMIFS('Journal'!$X$6:$X$505,'Journal'!$F$6:$F$505,$B53))</f>
        <v/>
      </c>
      <c r="F53" s="142">
        <f>IF($B53="","",IFERROR(AVERAGEIFS('Journal'!$AA$6:$AA$505,'Journal'!$F$6:$F$505,$B53),0))</f>
        <v/>
      </c>
      <c r="G53" s="143">
        <f>IF($B53="","",IF(C53=0,0,IF(SUMIFS('Journal'!$X$6:$X$505,'Journal'!$F$6:$F$505,$B53,'Journal'!$X$6:$X$505,"&lt;0")=0,IF(SUMIFS('Journal'!$X$6:$X$505,'Journal'!$F$6:$F$505,$B53,'Journal'!$X$6:$X$505,"&gt;0")&gt;0,"∞",0),SUMIFS('Journal'!$X$6:$X$505,'Journal'!$F$6:$F$505,$B53,'Journal'!$X$6:$X$505,"&gt;0")/ABS(SUMIFS('Journal'!$X$6:$X$505,'Journal'!$F$6:$F$505,$B53,'Journal'!$X$6:$X$505,"&lt;0")))))</f>
        <v/>
      </c>
      <c r="H53" s="144">
        <f>IF($B53="","",IF(C53=0,0,E53/C53))</f>
        <v/>
      </c>
    </row>
    <row r="54" ht="20" customHeight="1">
      <c r="B54" s="145">
        <f>IF('Listes'!B11="","",'Listes'!B11)</f>
        <v/>
      </c>
      <c r="C54" s="146">
        <f>IF($B54="","",COUNTIFS('Journal'!$F$6:$F$505,$B54,'Journal'!$X$6:$X$505,"&gt;-999999999"))</f>
        <v/>
      </c>
      <c r="D54" s="147">
        <f>IF($B54="","",IF(C54=0,0,COUNTIFS('Journal'!$F$6:$F$505,$B54,'Journal'!$X$6:$X$505,"&gt;0")/C54))</f>
        <v/>
      </c>
      <c r="E54" s="148">
        <f>IF($B54="","",SUMIFS('Journal'!$X$6:$X$505,'Journal'!$F$6:$F$505,$B54))</f>
        <v/>
      </c>
      <c r="F54" s="149">
        <f>IF($B54="","",IFERROR(AVERAGEIFS('Journal'!$AA$6:$AA$505,'Journal'!$F$6:$F$505,$B54),0))</f>
        <v/>
      </c>
      <c r="G54" s="150">
        <f>IF($B54="","",IF(C54=0,0,IF(SUMIFS('Journal'!$X$6:$X$505,'Journal'!$F$6:$F$505,$B54,'Journal'!$X$6:$X$505,"&lt;0")=0,IF(SUMIFS('Journal'!$X$6:$X$505,'Journal'!$F$6:$F$505,$B54,'Journal'!$X$6:$X$505,"&gt;0")&gt;0,"∞",0),SUMIFS('Journal'!$X$6:$X$505,'Journal'!$F$6:$F$505,$B54,'Journal'!$X$6:$X$505,"&gt;0")/ABS(SUMIFS('Journal'!$X$6:$X$505,'Journal'!$F$6:$F$505,$B54,'Journal'!$X$6:$X$505,"&lt;0")))))</f>
        <v/>
      </c>
      <c r="H54" s="151">
        <f>IF($B54="","",IF(C54=0,0,E54/C54))</f>
        <v/>
      </c>
    </row>
    <row r="55" ht="20" customHeight="1">
      <c r="B55" s="139">
        <f>IF('Listes'!B12="","",'Listes'!B12)</f>
        <v/>
      </c>
      <c r="C55" s="109">
        <f>IF($B55="","",COUNTIFS('Journal'!$F$6:$F$505,$B55,'Journal'!$X$6:$X$505,"&gt;-999999999"))</f>
        <v/>
      </c>
      <c r="D55" s="140">
        <f>IF($B55="","",IF(C55=0,0,COUNTIFS('Journal'!$F$6:$F$505,$B55,'Journal'!$X$6:$X$505,"&gt;0")/C55))</f>
        <v/>
      </c>
      <c r="E55" s="141">
        <f>IF($B55="","",SUMIFS('Journal'!$X$6:$X$505,'Journal'!$F$6:$F$505,$B55))</f>
        <v/>
      </c>
      <c r="F55" s="142">
        <f>IF($B55="","",IFERROR(AVERAGEIFS('Journal'!$AA$6:$AA$505,'Journal'!$F$6:$F$505,$B55),0))</f>
        <v/>
      </c>
      <c r="G55" s="143">
        <f>IF($B55="","",IF(C55=0,0,IF(SUMIFS('Journal'!$X$6:$X$505,'Journal'!$F$6:$F$505,$B55,'Journal'!$X$6:$X$505,"&lt;0")=0,IF(SUMIFS('Journal'!$X$6:$X$505,'Journal'!$F$6:$F$505,$B55,'Journal'!$X$6:$X$505,"&gt;0")&gt;0,"∞",0),SUMIFS('Journal'!$X$6:$X$505,'Journal'!$F$6:$F$505,$B55,'Journal'!$X$6:$X$505,"&gt;0")/ABS(SUMIFS('Journal'!$X$6:$X$505,'Journal'!$F$6:$F$505,$B55,'Journal'!$X$6:$X$505,"&lt;0")))))</f>
        <v/>
      </c>
      <c r="H55" s="144">
        <f>IF($B55="","",IF(C55=0,0,E55/C55))</f>
        <v/>
      </c>
    </row>
    <row r="56" ht="20" customHeight="1">
      <c r="B56" s="145">
        <f>IF('Listes'!B13="","",'Listes'!B13)</f>
        <v/>
      </c>
      <c r="C56" s="146">
        <f>IF($B56="","",COUNTIFS('Journal'!$F$6:$F$505,$B56,'Journal'!$X$6:$X$505,"&gt;-999999999"))</f>
        <v/>
      </c>
      <c r="D56" s="147">
        <f>IF($B56="","",IF(C56=0,0,COUNTIFS('Journal'!$F$6:$F$505,$B56,'Journal'!$X$6:$X$505,"&gt;0")/C56))</f>
        <v/>
      </c>
      <c r="E56" s="148">
        <f>IF($B56="","",SUMIFS('Journal'!$X$6:$X$505,'Journal'!$F$6:$F$505,$B56))</f>
        <v/>
      </c>
      <c r="F56" s="149">
        <f>IF($B56="","",IFERROR(AVERAGEIFS('Journal'!$AA$6:$AA$505,'Journal'!$F$6:$F$505,$B56),0))</f>
        <v/>
      </c>
      <c r="G56" s="150">
        <f>IF($B56="","",IF(C56=0,0,IF(SUMIFS('Journal'!$X$6:$X$505,'Journal'!$F$6:$F$505,$B56,'Journal'!$X$6:$X$505,"&lt;0")=0,IF(SUMIFS('Journal'!$X$6:$X$505,'Journal'!$F$6:$F$505,$B56,'Journal'!$X$6:$X$505,"&gt;0")&gt;0,"∞",0),SUMIFS('Journal'!$X$6:$X$505,'Journal'!$F$6:$F$505,$B56,'Journal'!$X$6:$X$505,"&gt;0")/ABS(SUMIFS('Journal'!$X$6:$X$505,'Journal'!$F$6:$F$505,$B56,'Journal'!$X$6:$X$505,"&lt;0")))))</f>
        <v/>
      </c>
      <c r="H56" s="151">
        <f>IF($B56="","",IF(C56=0,0,E56/C56))</f>
        <v/>
      </c>
    </row>
    <row r="57" ht="20" customHeight="1">
      <c r="B57" s="139">
        <f>IF('Listes'!B14="","",'Listes'!B14)</f>
        <v/>
      </c>
      <c r="C57" s="109">
        <f>IF($B57="","",COUNTIFS('Journal'!$F$6:$F$505,$B57,'Journal'!$X$6:$X$505,"&gt;-999999999"))</f>
        <v/>
      </c>
      <c r="D57" s="140">
        <f>IF($B57="","",IF(C57=0,0,COUNTIFS('Journal'!$F$6:$F$505,$B57,'Journal'!$X$6:$X$505,"&gt;0")/C57))</f>
        <v/>
      </c>
      <c r="E57" s="141">
        <f>IF($B57="","",SUMIFS('Journal'!$X$6:$X$505,'Journal'!$F$6:$F$505,$B57))</f>
        <v/>
      </c>
      <c r="F57" s="142">
        <f>IF($B57="","",IFERROR(AVERAGEIFS('Journal'!$AA$6:$AA$505,'Journal'!$F$6:$F$505,$B57),0))</f>
        <v/>
      </c>
      <c r="G57" s="143">
        <f>IF($B57="","",IF(C57=0,0,IF(SUMIFS('Journal'!$X$6:$X$505,'Journal'!$F$6:$F$505,$B57,'Journal'!$X$6:$X$505,"&lt;0")=0,IF(SUMIFS('Journal'!$X$6:$X$505,'Journal'!$F$6:$F$505,$B57,'Journal'!$X$6:$X$505,"&gt;0")&gt;0,"∞",0),SUMIFS('Journal'!$X$6:$X$505,'Journal'!$F$6:$F$505,$B57,'Journal'!$X$6:$X$505,"&gt;0")/ABS(SUMIFS('Journal'!$X$6:$X$505,'Journal'!$F$6:$F$505,$B57,'Journal'!$X$6:$X$505,"&lt;0")))))</f>
        <v/>
      </c>
      <c r="H57" s="144">
        <f>IF($B57="","",IF(C57=0,0,E57/C57))</f>
        <v/>
      </c>
    </row>
    <row r="58" ht="20" customHeight="1">
      <c r="B58" s="145">
        <f>IF('Listes'!B15="","",'Listes'!B15)</f>
        <v/>
      </c>
      <c r="C58" s="146">
        <f>IF($B58="","",COUNTIFS('Journal'!$F$6:$F$505,$B58,'Journal'!$X$6:$X$505,"&gt;-999999999"))</f>
        <v/>
      </c>
      <c r="D58" s="147">
        <f>IF($B58="","",IF(C58=0,0,COUNTIFS('Journal'!$F$6:$F$505,$B58,'Journal'!$X$6:$X$505,"&gt;0")/C58))</f>
        <v/>
      </c>
      <c r="E58" s="148">
        <f>IF($B58="","",SUMIFS('Journal'!$X$6:$X$505,'Journal'!$F$6:$F$505,$B58))</f>
        <v/>
      </c>
      <c r="F58" s="149">
        <f>IF($B58="","",IFERROR(AVERAGEIFS('Journal'!$AA$6:$AA$505,'Journal'!$F$6:$F$505,$B58),0))</f>
        <v/>
      </c>
      <c r="G58" s="150">
        <f>IF($B58="","",IF(C58=0,0,IF(SUMIFS('Journal'!$X$6:$X$505,'Journal'!$F$6:$F$505,$B58,'Journal'!$X$6:$X$505,"&lt;0")=0,IF(SUMIFS('Journal'!$X$6:$X$505,'Journal'!$F$6:$F$505,$B58,'Journal'!$X$6:$X$505,"&gt;0")&gt;0,"∞",0),SUMIFS('Journal'!$X$6:$X$505,'Journal'!$F$6:$F$505,$B58,'Journal'!$X$6:$X$505,"&gt;0")/ABS(SUMIFS('Journal'!$X$6:$X$505,'Journal'!$F$6:$F$505,$B58,'Journal'!$X$6:$X$505,"&lt;0")))))</f>
        <v/>
      </c>
      <c r="H58" s="151">
        <f>IF($B58="","",IF(C58=0,0,E58/C58))</f>
        <v/>
      </c>
    </row>
    <row r="63" ht="24" customHeight="1">
      <c r="B63" s="19" t="inlineStr">
        <is>
          <t>PAR ACTIF</t>
        </is>
      </c>
      <c r="C63" s="20" t="n"/>
      <c r="D63" s="20" t="n"/>
      <c r="E63" s="20" t="n"/>
      <c r="F63" s="20" t="n"/>
      <c r="G63" s="20" t="n"/>
      <c r="H63" s="20" t="n"/>
    </row>
    <row r="64" ht="26" customHeight="1">
      <c r="B64" s="117" t="inlineStr">
        <is>
          <t>Actif</t>
        </is>
      </c>
      <c r="C64" s="83" t="inlineStr">
        <is>
          <t>Trades</t>
        </is>
      </c>
      <c r="D64" s="83" t="inlineStr">
        <is>
          <t>Réussite</t>
        </is>
      </c>
      <c r="E64" s="83" t="inlineStr">
        <is>
          <t>P&amp;L net</t>
        </is>
      </c>
      <c r="F64" s="83" t="inlineStr">
        <is>
          <t>R moyen</t>
        </is>
      </c>
      <c r="G64" s="83" t="inlineStr">
        <is>
          <t>Profit F.</t>
        </is>
      </c>
      <c r="H64" s="83" t="inlineStr">
        <is>
          <t>Espérance</t>
        </is>
      </c>
    </row>
    <row r="65" ht="20" customHeight="1">
      <c r="B65" s="139">
        <f>IF('Listes'!F6="","",'Listes'!F6)</f>
        <v/>
      </c>
      <c r="C65" s="109">
        <f>IF($B65="","",COUNTIFS('Journal'!$D$6:$D$505,$B65,'Journal'!$X$6:$X$505,"&gt;-999999999"))</f>
        <v/>
      </c>
      <c r="D65" s="140">
        <f>IF($B65="","",IF(C65=0,0,COUNTIFS('Journal'!$D$6:$D$505,$B65,'Journal'!$X$6:$X$505,"&gt;0")/C65))</f>
        <v/>
      </c>
      <c r="E65" s="141">
        <f>IF($B65="","",SUMIFS('Journal'!$X$6:$X$505,'Journal'!$D$6:$D$505,$B65))</f>
        <v/>
      </c>
      <c r="F65" s="142">
        <f>IF($B65="","",IFERROR(AVERAGEIFS('Journal'!$AA$6:$AA$505,'Journal'!$D$6:$D$505,$B65),0))</f>
        <v/>
      </c>
      <c r="G65" s="143">
        <f>IF($B65="","",IF(C65=0,0,IF(SUMIFS('Journal'!$X$6:$X$505,'Journal'!$D$6:$D$505,$B65,'Journal'!$X$6:$X$505,"&lt;0")=0,IF(SUMIFS('Journal'!$X$6:$X$505,'Journal'!$D$6:$D$505,$B65,'Journal'!$X$6:$X$505,"&gt;0")&gt;0,"∞",0),SUMIFS('Journal'!$X$6:$X$505,'Journal'!$D$6:$D$505,$B65,'Journal'!$X$6:$X$505,"&gt;0")/ABS(SUMIFS('Journal'!$X$6:$X$505,'Journal'!$D$6:$D$505,$B65,'Journal'!$X$6:$X$505,"&lt;0")))))</f>
        <v/>
      </c>
      <c r="H65" s="144">
        <f>IF($B65="","",IF(C65=0,0,E65/C65))</f>
        <v/>
      </c>
    </row>
    <row r="66" ht="20" customHeight="1">
      <c r="B66" s="145">
        <f>IF('Listes'!F7="","",'Listes'!F7)</f>
        <v/>
      </c>
      <c r="C66" s="146">
        <f>IF($B66="","",COUNTIFS('Journal'!$D$6:$D$505,$B66,'Journal'!$X$6:$X$505,"&gt;-999999999"))</f>
        <v/>
      </c>
      <c r="D66" s="147">
        <f>IF($B66="","",IF(C66=0,0,COUNTIFS('Journal'!$D$6:$D$505,$B66,'Journal'!$X$6:$X$505,"&gt;0")/C66))</f>
        <v/>
      </c>
      <c r="E66" s="148">
        <f>IF($B66="","",SUMIFS('Journal'!$X$6:$X$505,'Journal'!$D$6:$D$505,$B66))</f>
        <v/>
      </c>
      <c r="F66" s="149">
        <f>IF($B66="","",IFERROR(AVERAGEIFS('Journal'!$AA$6:$AA$505,'Journal'!$D$6:$D$505,$B66),0))</f>
        <v/>
      </c>
      <c r="G66" s="150">
        <f>IF($B66="","",IF(C66=0,0,IF(SUMIFS('Journal'!$X$6:$X$505,'Journal'!$D$6:$D$505,$B66,'Journal'!$X$6:$X$505,"&lt;0")=0,IF(SUMIFS('Journal'!$X$6:$X$505,'Journal'!$D$6:$D$505,$B66,'Journal'!$X$6:$X$505,"&gt;0")&gt;0,"∞",0),SUMIFS('Journal'!$X$6:$X$505,'Journal'!$D$6:$D$505,$B66,'Journal'!$X$6:$X$505,"&gt;0")/ABS(SUMIFS('Journal'!$X$6:$X$505,'Journal'!$D$6:$D$505,$B66,'Journal'!$X$6:$X$505,"&lt;0")))))</f>
        <v/>
      </c>
      <c r="H66" s="151">
        <f>IF($B66="","",IF(C66=0,0,E66/C66))</f>
        <v/>
      </c>
    </row>
    <row r="67" ht="20" customHeight="1">
      <c r="B67" s="139">
        <f>IF('Listes'!F8="","",'Listes'!F8)</f>
        <v/>
      </c>
      <c r="C67" s="109">
        <f>IF($B67="","",COUNTIFS('Journal'!$D$6:$D$505,$B67,'Journal'!$X$6:$X$505,"&gt;-999999999"))</f>
        <v/>
      </c>
      <c r="D67" s="140">
        <f>IF($B67="","",IF(C67=0,0,COUNTIFS('Journal'!$D$6:$D$505,$B67,'Journal'!$X$6:$X$505,"&gt;0")/C67))</f>
        <v/>
      </c>
      <c r="E67" s="141">
        <f>IF($B67="","",SUMIFS('Journal'!$X$6:$X$505,'Journal'!$D$6:$D$505,$B67))</f>
        <v/>
      </c>
      <c r="F67" s="142">
        <f>IF($B67="","",IFERROR(AVERAGEIFS('Journal'!$AA$6:$AA$505,'Journal'!$D$6:$D$505,$B67),0))</f>
        <v/>
      </c>
      <c r="G67" s="143">
        <f>IF($B67="","",IF(C67=0,0,IF(SUMIFS('Journal'!$X$6:$X$505,'Journal'!$D$6:$D$505,$B67,'Journal'!$X$6:$X$505,"&lt;0")=0,IF(SUMIFS('Journal'!$X$6:$X$505,'Journal'!$D$6:$D$505,$B67,'Journal'!$X$6:$X$505,"&gt;0")&gt;0,"∞",0),SUMIFS('Journal'!$X$6:$X$505,'Journal'!$D$6:$D$505,$B67,'Journal'!$X$6:$X$505,"&gt;0")/ABS(SUMIFS('Journal'!$X$6:$X$505,'Journal'!$D$6:$D$505,$B67,'Journal'!$X$6:$X$505,"&lt;0")))))</f>
        <v/>
      </c>
      <c r="H67" s="144">
        <f>IF($B67="","",IF(C67=0,0,E67/C67))</f>
        <v/>
      </c>
    </row>
    <row r="68" ht="20" customHeight="1">
      <c r="B68" s="145">
        <f>IF('Listes'!F9="","",'Listes'!F9)</f>
        <v/>
      </c>
      <c r="C68" s="146">
        <f>IF($B68="","",COUNTIFS('Journal'!$D$6:$D$505,$B68,'Journal'!$X$6:$X$505,"&gt;-999999999"))</f>
        <v/>
      </c>
      <c r="D68" s="147">
        <f>IF($B68="","",IF(C68=0,0,COUNTIFS('Journal'!$D$6:$D$505,$B68,'Journal'!$X$6:$X$505,"&gt;0")/C68))</f>
        <v/>
      </c>
      <c r="E68" s="148">
        <f>IF($B68="","",SUMIFS('Journal'!$X$6:$X$505,'Journal'!$D$6:$D$505,$B68))</f>
        <v/>
      </c>
      <c r="F68" s="149">
        <f>IF($B68="","",IFERROR(AVERAGEIFS('Journal'!$AA$6:$AA$505,'Journal'!$D$6:$D$505,$B68),0))</f>
        <v/>
      </c>
      <c r="G68" s="150">
        <f>IF($B68="","",IF(C68=0,0,IF(SUMIFS('Journal'!$X$6:$X$505,'Journal'!$D$6:$D$505,$B68,'Journal'!$X$6:$X$505,"&lt;0")=0,IF(SUMIFS('Journal'!$X$6:$X$505,'Journal'!$D$6:$D$505,$B68,'Journal'!$X$6:$X$505,"&gt;0")&gt;0,"∞",0),SUMIFS('Journal'!$X$6:$X$505,'Journal'!$D$6:$D$505,$B68,'Journal'!$X$6:$X$505,"&gt;0")/ABS(SUMIFS('Journal'!$X$6:$X$505,'Journal'!$D$6:$D$505,$B68,'Journal'!$X$6:$X$505,"&lt;0")))))</f>
        <v/>
      </c>
      <c r="H68" s="151">
        <f>IF($B68="","",IF(C68=0,0,E68/C68))</f>
        <v/>
      </c>
    </row>
    <row r="69" ht="20" customHeight="1">
      <c r="B69" s="139">
        <f>IF('Listes'!F10="","",'Listes'!F10)</f>
        <v/>
      </c>
      <c r="C69" s="109">
        <f>IF($B69="","",COUNTIFS('Journal'!$D$6:$D$505,$B69,'Journal'!$X$6:$X$505,"&gt;-999999999"))</f>
        <v/>
      </c>
      <c r="D69" s="140">
        <f>IF($B69="","",IF(C69=0,0,COUNTIFS('Journal'!$D$6:$D$505,$B69,'Journal'!$X$6:$X$505,"&gt;0")/C69))</f>
        <v/>
      </c>
      <c r="E69" s="141">
        <f>IF($B69="","",SUMIFS('Journal'!$X$6:$X$505,'Journal'!$D$6:$D$505,$B69))</f>
        <v/>
      </c>
      <c r="F69" s="142">
        <f>IF($B69="","",IFERROR(AVERAGEIFS('Journal'!$AA$6:$AA$505,'Journal'!$D$6:$D$505,$B69),0))</f>
        <v/>
      </c>
      <c r="G69" s="143">
        <f>IF($B69="","",IF(C69=0,0,IF(SUMIFS('Journal'!$X$6:$X$505,'Journal'!$D$6:$D$505,$B69,'Journal'!$X$6:$X$505,"&lt;0")=0,IF(SUMIFS('Journal'!$X$6:$X$505,'Journal'!$D$6:$D$505,$B69,'Journal'!$X$6:$X$505,"&gt;0")&gt;0,"∞",0),SUMIFS('Journal'!$X$6:$X$505,'Journal'!$D$6:$D$505,$B69,'Journal'!$X$6:$X$505,"&gt;0")/ABS(SUMIFS('Journal'!$X$6:$X$505,'Journal'!$D$6:$D$505,$B69,'Journal'!$X$6:$X$505,"&lt;0")))))</f>
        <v/>
      </c>
      <c r="H69" s="144">
        <f>IF($B69="","",IF(C69=0,0,E69/C69))</f>
        <v/>
      </c>
    </row>
    <row r="70" ht="20" customHeight="1">
      <c r="B70" s="145">
        <f>IF('Listes'!F11="","",'Listes'!F11)</f>
        <v/>
      </c>
      <c r="C70" s="146">
        <f>IF($B70="","",COUNTIFS('Journal'!$D$6:$D$505,$B70,'Journal'!$X$6:$X$505,"&gt;-999999999"))</f>
        <v/>
      </c>
      <c r="D70" s="147">
        <f>IF($B70="","",IF(C70=0,0,COUNTIFS('Journal'!$D$6:$D$505,$B70,'Journal'!$X$6:$X$505,"&gt;0")/C70))</f>
        <v/>
      </c>
      <c r="E70" s="148">
        <f>IF($B70="","",SUMIFS('Journal'!$X$6:$X$505,'Journal'!$D$6:$D$505,$B70))</f>
        <v/>
      </c>
      <c r="F70" s="149">
        <f>IF($B70="","",IFERROR(AVERAGEIFS('Journal'!$AA$6:$AA$505,'Journal'!$D$6:$D$505,$B70),0))</f>
        <v/>
      </c>
      <c r="G70" s="150">
        <f>IF($B70="","",IF(C70=0,0,IF(SUMIFS('Journal'!$X$6:$X$505,'Journal'!$D$6:$D$505,$B70,'Journal'!$X$6:$X$505,"&lt;0")=0,IF(SUMIFS('Journal'!$X$6:$X$505,'Journal'!$D$6:$D$505,$B70,'Journal'!$X$6:$X$505,"&gt;0")&gt;0,"∞",0),SUMIFS('Journal'!$X$6:$X$505,'Journal'!$D$6:$D$505,$B70,'Journal'!$X$6:$X$505,"&gt;0")/ABS(SUMIFS('Journal'!$X$6:$X$505,'Journal'!$D$6:$D$505,$B70,'Journal'!$X$6:$X$505,"&lt;0")))))</f>
        <v/>
      </c>
      <c r="H70" s="151">
        <f>IF($B70="","",IF(C70=0,0,E70/C70))</f>
        <v/>
      </c>
    </row>
    <row r="71" ht="20" customHeight="1">
      <c r="B71" s="139">
        <f>IF('Listes'!F12="","",'Listes'!F12)</f>
        <v/>
      </c>
      <c r="C71" s="109">
        <f>IF($B71="","",COUNTIFS('Journal'!$D$6:$D$505,$B71,'Journal'!$X$6:$X$505,"&gt;-999999999"))</f>
        <v/>
      </c>
      <c r="D71" s="140">
        <f>IF($B71="","",IF(C71=0,0,COUNTIFS('Journal'!$D$6:$D$505,$B71,'Journal'!$X$6:$X$505,"&gt;0")/C71))</f>
        <v/>
      </c>
      <c r="E71" s="141">
        <f>IF($B71="","",SUMIFS('Journal'!$X$6:$X$505,'Journal'!$D$6:$D$505,$B71))</f>
        <v/>
      </c>
      <c r="F71" s="142">
        <f>IF($B71="","",IFERROR(AVERAGEIFS('Journal'!$AA$6:$AA$505,'Journal'!$D$6:$D$505,$B71),0))</f>
        <v/>
      </c>
      <c r="G71" s="143">
        <f>IF($B71="","",IF(C71=0,0,IF(SUMIFS('Journal'!$X$6:$X$505,'Journal'!$D$6:$D$505,$B71,'Journal'!$X$6:$X$505,"&lt;0")=0,IF(SUMIFS('Journal'!$X$6:$X$505,'Journal'!$D$6:$D$505,$B71,'Journal'!$X$6:$X$505,"&gt;0")&gt;0,"∞",0),SUMIFS('Journal'!$X$6:$X$505,'Journal'!$D$6:$D$505,$B71,'Journal'!$X$6:$X$505,"&gt;0")/ABS(SUMIFS('Journal'!$X$6:$X$505,'Journal'!$D$6:$D$505,$B71,'Journal'!$X$6:$X$505,"&lt;0")))))</f>
        <v/>
      </c>
      <c r="H71" s="144">
        <f>IF($B71="","",IF(C71=0,0,E71/C71))</f>
        <v/>
      </c>
    </row>
    <row r="72" ht="20" customHeight="1">
      <c r="B72" s="145">
        <f>IF('Listes'!F13="","",'Listes'!F13)</f>
        <v/>
      </c>
      <c r="C72" s="146">
        <f>IF($B72="","",COUNTIFS('Journal'!$D$6:$D$505,$B72,'Journal'!$X$6:$X$505,"&gt;-999999999"))</f>
        <v/>
      </c>
      <c r="D72" s="147">
        <f>IF($B72="","",IF(C72=0,0,COUNTIFS('Journal'!$D$6:$D$505,$B72,'Journal'!$X$6:$X$505,"&gt;0")/C72))</f>
        <v/>
      </c>
      <c r="E72" s="148">
        <f>IF($B72="","",SUMIFS('Journal'!$X$6:$X$505,'Journal'!$D$6:$D$505,$B72))</f>
        <v/>
      </c>
      <c r="F72" s="149">
        <f>IF($B72="","",IFERROR(AVERAGEIFS('Journal'!$AA$6:$AA$505,'Journal'!$D$6:$D$505,$B72),0))</f>
        <v/>
      </c>
      <c r="G72" s="150">
        <f>IF($B72="","",IF(C72=0,0,IF(SUMIFS('Journal'!$X$6:$X$505,'Journal'!$D$6:$D$505,$B72,'Journal'!$X$6:$X$505,"&lt;0")=0,IF(SUMIFS('Journal'!$X$6:$X$505,'Journal'!$D$6:$D$505,$B72,'Journal'!$X$6:$X$505,"&gt;0")&gt;0,"∞",0),SUMIFS('Journal'!$X$6:$X$505,'Journal'!$D$6:$D$505,$B72,'Journal'!$X$6:$X$505,"&gt;0")/ABS(SUMIFS('Journal'!$X$6:$X$505,'Journal'!$D$6:$D$505,$B72,'Journal'!$X$6:$X$505,"&lt;0")))))</f>
        <v/>
      </c>
      <c r="H72" s="151">
        <f>IF($B72="","",IF(C72=0,0,E72/C72))</f>
        <v/>
      </c>
    </row>
    <row r="73" ht="20" customHeight="1">
      <c r="B73" s="139">
        <f>IF('Listes'!F14="","",'Listes'!F14)</f>
        <v/>
      </c>
      <c r="C73" s="109">
        <f>IF($B73="","",COUNTIFS('Journal'!$D$6:$D$505,$B73,'Journal'!$X$6:$X$505,"&gt;-999999999"))</f>
        <v/>
      </c>
      <c r="D73" s="140">
        <f>IF($B73="","",IF(C73=0,0,COUNTIFS('Journal'!$D$6:$D$505,$B73,'Journal'!$X$6:$X$505,"&gt;0")/C73))</f>
        <v/>
      </c>
      <c r="E73" s="141">
        <f>IF($B73="","",SUMIFS('Journal'!$X$6:$X$505,'Journal'!$D$6:$D$505,$B73))</f>
        <v/>
      </c>
      <c r="F73" s="142">
        <f>IF($B73="","",IFERROR(AVERAGEIFS('Journal'!$AA$6:$AA$505,'Journal'!$D$6:$D$505,$B73),0))</f>
        <v/>
      </c>
      <c r="G73" s="143">
        <f>IF($B73="","",IF(C73=0,0,IF(SUMIFS('Journal'!$X$6:$X$505,'Journal'!$D$6:$D$505,$B73,'Journal'!$X$6:$X$505,"&lt;0")=0,IF(SUMIFS('Journal'!$X$6:$X$505,'Journal'!$D$6:$D$505,$B73,'Journal'!$X$6:$X$505,"&gt;0")&gt;0,"∞",0),SUMIFS('Journal'!$X$6:$X$505,'Journal'!$D$6:$D$505,$B73,'Journal'!$X$6:$X$505,"&gt;0")/ABS(SUMIFS('Journal'!$X$6:$X$505,'Journal'!$D$6:$D$505,$B73,'Journal'!$X$6:$X$505,"&lt;0")))))</f>
        <v/>
      </c>
      <c r="H73" s="144">
        <f>IF($B73="","",IF(C73=0,0,E73/C73))</f>
        <v/>
      </c>
    </row>
    <row r="74" ht="20" customHeight="1">
      <c r="B74" s="145">
        <f>IF('Listes'!F15="","",'Listes'!F15)</f>
        <v/>
      </c>
      <c r="C74" s="146">
        <f>IF($B74="","",COUNTIFS('Journal'!$D$6:$D$505,$B74,'Journal'!$X$6:$X$505,"&gt;-999999999"))</f>
        <v/>
      </c>
      <c r="D74" s="147">
        <f>IF($B74="","",IF(C74=0,0,COUNTIFS('Journal'!$D$6:$D$505,$B74,'Journal'!$X$6:$X$505,"&gt;0")/C74))</f>
        <v/>
      </c>
      <c r="E74" s="148">
        <f>IF($B74="","",SUMIFS('Journal'!$X$6:$X$505,'Journal'!$D$6:$D$505,$B74))</f>
        <v/>
      </c>
      <c r="F74" s="149">
        <f>IF($B74="","",IFERROR(AVERAGEIFS('Journal'!$AA$6:$AA$505,'Journal'!$D$6:$D$505,$B74),0))</f>
        <v/>
      </c>
      <c r="G74" s="150">
        <f>IF($B74="","",IF(C74=0,0,IF(SUMIFS('Journal'!$X$6:$X$505,'Journal'!$D$6:$D$505,$B74,'Journal'!$X$6:$X$505,"&lt;0")=0,IF(SUMIFS('Journal'!$X$6:$X$505,'Journal'!$D$6:$D$505,$B74,'Journal'!$X$6:$X$505,"&gt;0")&gt;0,"∞",0),SUMIFS('Journal'!$X$6:$X$505,'Journal'!$D$6:$D$505,$B74,'Journal'!$X$6:$X$505,"&gt;0")/ABS(SUMIFS('Journal'!$X$6:$X$505,'Journal'!$D$6:$D$505,$B74,'Journal'!$X$6:$X$505,"&lt;0")))))</f>
        <v/>
      </c>
      <c r="H74" s="151">
        <f>IF($B74="","",IF(C74=0,0,E74/C74))</f>
        <v/>
      </c>
    </row>
    <row r="75" ht="20" customHeight="1">
      <c r="B75" s="139">
        <f>IF('Listes'!F16="","",'Listes'!F16)</f>
        <v/>
      </c>
      <c r="C75" s="109">
        <f>IF($B75="","",COUNTIFS('Journal'!$D$6:$D$505,$B75,'Journal'!$X$6:$X$505,"&gt;-999999999"))</f>
        <v/>
      </c>
      <c r="D75" s="140">
        <f>IF($B75="","",IF(C75=0,0,COUNTIFS('Journal'!$D$6:$D$505,$B75,'Journal'!$X$6:$X$505,"&gt;0")/C75))</f>
        <v/>
      </c>
      <c r="E75" s="141">
        <f>IF($B75="","",SUMIFS('Journal'!$X$6:$X$505,'Journal'!$D$6:$D$505,$B75))</f>
        <v/>
      </c>
      <c r="F75" s="142">
        <f>IF($B75="","",IFERROR(AVERAGEIFS('Journal'!$AA$6:$AA$505,'Journal'!$D$6:$D$505,$B75),0))</f>
        <v/>
      </c>
      <c r="G75" s="143">
        <f>IF($B75="","",IF(C75=0,0,IF(SUMIFS('Journal'!$X$6:$X$505,'Journal'!$D$6:$D$505,$B75,'Journal'!$X$6:$X$505,"&lt;0")=0,IF(SUMIFS('Journal'!$X$6:$X$505,'Journal'!$D$6:$D$505,$B75,'Journal'!$X$6:$X$505,"&gt;0")&gt;0,"∞",0),SUMIFS('Journal'!$X$6:$X$505,'Journal'!$D$6:$D$505,$B75,'Journal'!$X$6:$X$505,"&gt;0")/ABS(SUMIFS('Journal'!$X$6:$X$505,'Journal'!$D$6:$D$505,$B75,'Journal'!$X$6:$X$505,"&lt;0")))))</f>
        <v/>
      </c>
      <c r="H75" s="144">
        <f>IF($B75="","",IF(C75=0,0,E75/C75))</f>
        <v/>
      </c>
    </row>
    <row r="76" ht="20" customHeight="1">
      <c r="B76" s="145">
        <f>IF('Listes'!F17="","",'Listes'!F17)</f>
        <v/>
      </c>
      <c r="C76" s="146">
        <f>IF($B76="","",COUNTIFS('Journal'!$D$6:$D$505,$B76,'Journal'!$X$6:$X$505,"&gt;-999999999"))</f>
        <v/>
      </c>
      <c r="D76" s="147">
        <f>IF($B76="","",IF(C76=0,0,COUNTIFS('Journal'!$D$6:$D$505,$B76,'Journal'!$X$6:$X$505,"&gt;0")/C76))</f>
        <v/>
      </c>
      <c r="E76" s="148">
        <f>IF($B76="","",SUMIFS('Journal'!$X$6:$X$505,'Journal'!$D$6:$D$505,$B76))</f>
        <v/>
      </c>
      <c r="F76" s="149">
        <f>IF($B76="","",IFERROR(AVERAGEIFS('Journal'!$AA$6:$AA$505,'Journal'!$D$6:$D$505,$B76),0))</f>
        <v/>
      </c>
      <c r="G76" s="150">
        <f>IF($B76="","",IF(C76=0,0,IF(SUMIFS('Journal'!$X$6:$X$505,'Journal'!$D$6:$D$505,$B76,'Journal'!$X$6:$X$505,"&lt;0")=0,IF(SUMIFS('Journal'!$X$6:$X$505,'Journal'!$D$6:$D$505,$B76,'Journal'!$X$6:$X$505,"&gt;0")&gt;0,"∞",0),SUMIFS('Journal'!$X$6:$X$505,'Journal'!$D$6:$D$505,$B76,'Journal'!$X$6:$X$505,"&gt;0")/ABS(SUMIFS('Journal'!$X$6:$X$505,'Journal'!$D$6:$D$505,$B76,'Journal'!$X$6:$X$505,"&lt;0")))))</f>
        <v/>
      </c>
      <c r="H76" s="151">
        <f>IF($B76="","",IF(C76=0,0,E76/C76))</f>
        <v/>
      </c>
    </row>
    <row r="79" ht="24" customHeight="1">
      <c r="B79" s="23" t="inlineStr">
        <is>
          <t>PAR SENS</t>
        </is>
      </c>
      <c r="C79" s="24" t="n"/>
      <c r="D79" s="24" t="n"/>
      <c r="E79" s="24" t="n"/>
      <c r="F79" s="24" t="n"/>
      <c r="G79" s="24" t="n"/>
      <c r="H79" s="24" t="n"/>
    </row>
    <row r="80" ht="26" customHeight="1">
      <c r="B80" s="117" t="inlineStr">
        <is>
          <t>Sens</t>
        </is>
      </c>
      <c r="C80" s="83" t="inlineStr">
        <is>
          <t>Trades</t>
        </is>
      </c>
      <c r="D80" s="83" t="inlineStr">
        <is>
          <t>Réussite</t>
        </is>
      </c>
      <c r="E80" s="83" t="inlineStr">
        <is>
          <t>P&amp;L net</t>
        </is>
      </c>
      <c r="F80" s="83" t="inlineStr">
        <is>
          <t>R moyen</t>
        </is>
      </c>
      <c r="G80" s="83" t="inlineStr">
        <is>
          <t>Profit F.</t>
        </is>
      </c>
      <c r="H80" s="83" t="inlineStr">
        <is>
          <t>Espérance</t>
        </is>
      </c>
    </row>
    <row r="81" ht="20" customHeight="1">
      <c r="B81" s="139" t="inlineStr">
        <is>
          <t>Long</t>
        </is>
      </c>
      <c r="C81" s="109">
        <f>IF($B81="","",COUNTIFS('Journal'!$E$6:$E$505,$B81,'Journal'!$X$6:$X$505,"&gt;-999999999"))</f>
        <v/>
      </c>
      <c r="D81" s="140">
        <f>IF($B81="","",IF(C81=0,0,COUNTIFS('Journal'!$E$6:$E$505,$B81,'Journal'!$X$6:$X$505,"&gt;0")/C81))</f>
        <v/>
      </c>
      <c r="E81" s="141">
        <f>IF($B81="","",SUMIFS('Journal'!$X$6:$X$505,'Journal'!$E$6:$E$505,$B81))</f>
        <v/>
      </c>
      <c r="F81" s="142">
        <f>IF($B81="","",IFERROR(AVERAGEIFS('Journal'!$AA$6:$AA$505,'Journal'!$E$6:$E$505,$B81),0))</f>
        <v/>
      </c>
      <c r="G81" s="143">
        <f>IF($B81="","",IF(C81=0,0,IF(SUMIFS('Journal'!$X$6:$X$505,'Journal'!$E$6:$E$505,$B81,'Journal'!$X$6:$X$505,"&lt;0")=0,IF(SUMIFS('Journal'!$X$6:$X$505,'Journal'!$E$6:$E$505,$B81,'Journal'!$X$6:$X$505,"&gt;0")&gt;0,"∞",0),SUMIFS('Journal'!$X$6:$X$505,'Journal'!$E$6:$E$505,$B81,'Journal'!$X$6:$X$505,"&gt;0")/ABS(SUMIFS('Journal'!$X$6:$X$505,'Journal'!$E$6:$E$505,$B81,'Journal'!$X$6:$X$505,"&lt;0")))))</f>
        <v/>
      </c>
      <c r="H81" s="144">
        <f>IF($B81="","",IF(C81=0,0,E81/C81))</f>
        <v/>
      </c>
    </row>
    <row r="82" ht="20" customHeight="1">
      <c r="B82" s="145" t="inlineStr">
        <is>
          <t>Short</t>
        </is>
      </c>
      <c r="C82" s="146">
        <f>IF($B82="","",COUNTIFS('Journal'!$E$6:$E$505,$B82,'Journal'!$X$6:$X$505,"&gt;-999999999"))</f>
        <v/>
      </c>
      <c r="D82" s="147">
        <f>IF($B82="","",IF(C82=0,0,COUNTIFS('Journal'!$E$6:$E$505,$B82,'Journal'!$X$6:$X$505,"&gt;0")/C82))</f>
        <v/>
      </c>
      <c r="E82" s="148">
        <f>IF($B82="","",SUMIFS('Journal'!$X$6:$X$505,'Journal'!$E$6:$E$505,$B82))</f>
        <v/>
      </c>
      <c r="F82" s="149">
        <f>IF($B82="","",IFERROR(AVERAGEIFS('Journal'!$AA$6:$AA$505,'Journal'!$E$6:$E$505,$B82),0))</f>
        <v/>
      </c>
      <c r="G82" s="150">
        <f>IF($B82="","",IF(C82=0,0,IF(SUMIFS('Journal'!$X$6:$X$505,'Journal'!$E$6:$E$505,$B82,'Journal'!$X$6:$X$505,"&lt;0")=0,IF(SUMIFS('Journal'!$X$6:$X$505,'Journal'!$E$6:$E$505,$B82,'Journal'!$X$6:$X$505,"&gt;0")&gt;0,"∞",0),SUMIFS('Journal'!$X$6:$X$505,'Journal'!$E$6:$E$505,$B82,'Journal'!$X$6:$X$505,"&gt;0")/ABS(SUMIFS('Journal'!$X$6:$X$505,'Journal'!$E$6:$E$505,$B82,'Journal'!$X$6:$X$505,"&lt;0")))))</f>
        <v/>
      </c>
      <c r="H82" s="151">
        <f>IF($B82="","",IF(C82=0,0,E82/C82))</f>
        <v/>
      </c>
    </row>
    <row r="85" ht="24" customHeight="1">
      <c r="B85" s="23" t="inlineStr">
        <is>
          <t>PAR TIMEFRAME</t>
        </is>
      </c>
      <c r="C85" s="24" t="n"/>
      <c r="D85" s="24" t="n"/>
      <c r="E85" s="24" t="n"/>
      <c r="F85" s="24" t="n"/>
      <c r="G85" s="24" t="n"/>
      <c r="H85" s="24" t="n"/>
    </row>
    <row r="86" ht="26" customHeight="1">
      <c r="B86" s="117" t="inlineStr">
        <is>
          <t>Timeframe</t>
        </is>
      </c>
      <c r="C86" s="83" t="inlineStr">
        <is>
          <t>Trades</t>
        </is>
      </c>
      <c r="D86" s="83" t="inlineStr">
        <is>
          <t>Réussite</t>
        </is>
      </c>
      <c r="E86" s="83" t="inlineStr">
        <is>
          <t>P&amp;L net</t>
        </is>
      </c>
      <c r="F86" s="83" t="inlineStr">
        <is>
          <t>R moyen</t>
        </is>
      </c>
      <c r="G86" s="83" t="inlineStr">
        <is>
          <t>Profit F.</t>
        </is>
      </c>
      <c r="H86" s="83" t="inlineStr">
        <is>
          <t>Espérance</t>
        </is>
      </c>
    </row>
    <row r="87" ht="20" customHeight="1">
      <c r="B87" s="139">
        <f>IF('Listes'!C6="","",'Listes'!C6)</f>
        <v/>
      </c>
      <c r="C87" s="109">
        <f>IF($B87="","",COUNTIFS('Journal'!$G$6:$G$505,$B87,'Journal'!$X$6:$X$505,"&gt;-999999999"))</f>
        <v/>
      </c>
      <c r="D87" s="140">
        <f>IF($B87="","",IF(C87=0,0,COUNTIFS('Journal'!$G$6:$G$505,$B87,'Journal'!$X$6:$X$505,"&gt;0")/C87))</f>
        <v/>
      </c>
      <c r="E87" s="141">
        <f>IF($B87="","",SUMIFS('Journal'!$X$6:$X$505,'Journal'!$G$6:$G$505,$B87))</f>
        <v/>
      </c>
      <c r="F87" s="142">
        <f>IF($B87="","",IFERROR(AVERAGEIFS('Journal'!$AA$6:$AA$505,'Journal'!$G$6:$G$505,$B87),0))</f>
        <v/>
      </c>
      <c r="G87" s="143">
        <f>IF($B87="","",IF(C87=0,0,IF(SUMIFS('Journal'!$X$6:$X$505,'Journal'!$G$6:$G$505,$B87,'Journal'!$X$6:$X$505,"&lt;0")=0,IF(SUMIFS('Journal'!$X$6:$X$505,'Journal'!$G$6:$G$505,$B87,'Journal'!$X$6:$X$505,"&gt;0")&gt;0,"∞",0),SUMIFS('Journal'!$X$6:$X$505,'Journal'!$G$6:$G$505,$B87,'Journal'!$X$6:$X$505,"&gt;0")/ABS(SUMIFS('Journal'!$X$6:$X$505,'Journal'!$G$6:$G$505,$B87,'Journal'!$X$6:$X$505,"&lt;0")))))</f>
        <v/>
      </c>
      <c r="H87" s="144">
        <f>IF($B87="","",IF(C87=0,0,E87/C87))</f>
        <v/>
      </c>
    </row>
    <row r="88" ht="20" customHeight="1">
      <c r="B88" s="145">
        <f>IF('Listes'!C7="","",'Listes'!C7)</f>
        <v/>
      </c>
      <c r="C88" s="146">
        <f>IF($B88="","",COUNTIFS('Journal'!$G$6:$G$505,$B88,'Journal'!$X$6:$X$505,"&gt;-999999999"))</f>
        <v/>
      </c>
      <c r="D88" s="147">
        <f>IF($B88="","",IF(C88=0,0,COUNTIFS('Journal'!$G$6:$G$505,$B88,'Journal'!$X$6:$X$505,"&gt;0")/C88))</f>
        <v/>
      </c>
      <c r="E88" s="148">
        <f>IF($B88="","",SUMIFS('Journal'!$X$6:$X$505,'Journal'!$G$6:$G$505,$B88))</f>
        <v/>
      </c>
      <c r="F88" s="149">
        <f>IF($B88="","",IFERROR(AVERAGEIFS('Journal'!$AA$6:$AA$505,'Journal'!$G$6:$G$505,$B88),0))</f>
        <v/>
      </c>
      <c r="G88" s="150">
        <f>IF($B88="","",IF(C88=0,0,IF(SUMIFS('Journal'!$X$6:$X$505,'Journal'!$G$6:$G$505,$B88,'Journal'!$X$6:$X$505,"&lt;0")=0,IF(SUMIFS('Journal'!$X$6:$X$505,'Journal'!$G$6:$G$505,$B88,'Journal'!$X$6:$X$505,"&gt;0")&gt;0,"∞",0),SUMIFS('Journal'!$X$6:$X$505,'Journal'!$G$6:$G$505,$B88,'Journal'!$X$6:$X$505,"&gt;0")/ABS(SUMIFS('Journal'!$X$6:$X$505,'Journal'!$G$6:$G$505,$B88,'Journal'!$X$6:$X$505,"&lt;0")))))</f>
        <v/>
      </c>
      <c r="H88" s="151">
        <f>IF($B88="","",IF(C88=0,0,E88/C88))</f>
        <v/>
      </c>
    </row>
    <row r="89" ht="20" customHeight="1">
      <c r="B89" s="139">
        <f>IF('Listes'!C8="","",'Listes'!C8)</f>
        <v/>
      </c>
      <c r="C89" s="109">
        <f>IF($B89="","",COUNTIFS('Journal'!$G$6:$G$505,$B89,'Journal'!$X$6:$X$505,"&gt;-999999999"))</f>
        <v/>
      </c>
      <c r="D89" s="140">
        <f>IF($B89="","",IF(C89=0,0,COUNTIFS('Journal'!$G$6:$G$505,$B89,'Journal'!$X$6:$X$505,"&gt;0")/C89))</f>
        <v/>
      </c>
      <c r="E89" s="141">
        <f>IF($B89="","",SUMIFS('Journal'!$X$6:$X$505,'Journal'!$G$6:$G$505,$B89))</f>
        <v/>
      </c>
      <c r="F89" s="142">
        <f>IF($B89="","",IFERROR(AVERAGEIFS('Journal'!$AA$6:$AA$505,'Journal'!$G$6:$G$505,$B89),0))</f>
        <v/>
      </c>
      <c r="G89" s="143">
        <f>IF($B89="","",IF(C89=0,0,IF(SUMIFS('Journal'!$X$6:$X$505,'Journal'!$G$6:$G$505,$B89,'Journal'!$X$6:$X$505,"&lt;0")=0,IF(SUMIFS('Journal'!$X$6:$X$505,'Journal'!$G$6:$G$505,$B89,'Journal'!$X$6:$X$505,"&gt;0")&gt;0,"∞",0),SUMIFS('Journal'!$X$6:$X$505,'Journal'!$G$6:$G$505,$B89,'Journal'!$X$6:$X$505,"&gt;0")/ABS(SUMIFS('Journal'!$X$6:$X$505,'Journal'!$G$6:$G$505,$B89,'Journal'!$X$6:$X$505,"&lt;0")))))</f>
        <v/>
      </c>
      <c r="H89" s="144">
        <f>IF($B89="","",IF(C89=0,0,E89/C89))</f>
        <v/>
      </c>
    </row>
    <row r="90" ht="20" customHeight="1">
      <c r="B90" s="145">
        <f>IF('Listes'!C9="","",'Listes'!C9)</f>
        <v/>
      </c>
      <c r="C90" s="146">
        <f>IF($B90="","",COUNTIFS('Journal'!$G$6:$G$505,$B90,'Journal'!$X$6:$X$505,"&gt;-999999999"))</f>
        <v/>
      </c>
      <c r="D90" s="147">
        <f>IF($B90="","",IF(C90=0,0,COUNTIFS('Journal'!$G$6:$G$505,$B90,'Journal'!$X$6:$X$505,"&gt;0")/C90))</f>
        <v/>
      </c>
      <c r="E90" s="148">
        <f>IF($B90="","",SUMIFS('Journal'!$X$6:$X$505,'Journal'!$G$6:$G$505,$B90))</f>
        <v/>
      </c>
      <c r="F90" s="149">
        <f>IF($B90="","",IFERROR(AVERAGEIFS('Journal'!$AA$6:$AA$505,'Journal'!$G$6:$G$505,$B90),0))</f>
        <v/>
      </c>
      <c r="G90" s="150">
        <f>IF($B90="","",IF(C90=0,0,IF(SUMIFS('Journal'!$X$6:$X$505,'Journal'!$G$6:$G$505,$B90,'Journal'!$X$6:$X$505,"&lt;0")=0,IF(SUMIFS('Journal'!$X$6:$X$505,'Journal'!$G$6:$G$505,$B90,'Journal'!$X$6:$X$505,"&gt;0")&gt;0,"∞",0),SUMIFS('Journal'!$X$6:$X$505,'Journal'!$G$6:$G$505,$B90,'Journal'!$X$6:$X$505,"&gt;0")/ABS(SUMIFS('Journal'!$X$6:$X$505,'Journal'!$G$6:$G$505,$B90,'Journal'!$X$6:$X$505,"&lt;0")))))</f>
        <v/>
      </c>
      <c r="H90" s="151">
        <f>IF($B90="","",IF(C90=0,0,E90/C90))</f>
        <v/>
      </c>
    </row>
    <row r="91" ht="20" customHeight="1">
      <c r="B91" s="139">
        <f>IF('Listes'!C10="","",'Listes'!C10)</f>
        <v/>
      </c>
      <c r="C91" s="109">
        <f>IF($B91="","",COUNTIFS('Journal'!$G$6:$G$505,$B91,'Journal'!$X$6:$X$505,"&gt;-999999999"))</f>
        <v/>
      </c>
      <c r="D91" s="140">
        <f>IF($B91="","",IF(C91=0,0,COUNTIFS('Journal'!$G$6:$G$505,$B91,'Journal'!$X$6:$X$505,"&gt;0")/C91))</f>
        <v/>
      </c>
      <c r="E91" s="141">
        <f>IF($B91="","",SUMIFS('Journal'!$X$6:$X$505,'Journal'!$G$6:$G$505,$B91))</f>
        <v/>
      </c>
      <c r="F91" s="142">
        <f>IF($B91="","",IFERROR(AVERAGEIFS('Journal'!$AA$6:$AA$505,'Journal'!$G$6:$G$505,$B91),0))</f>
        <v/>
      </c>
      <c r="G91" s="143">
        <f>IF($B91="","",IF(C91=0,0,IF(SUMIFS('Journal'!$X$6:$X$505,'Journal'!$G$6:$G$505,$B91,'Journal'!$X$6:$X$505,"&lt;0")=0,IF(SUMIFS('Journal'!$X$6:$X$505,'Journal'!$G$6:$G$505,$B91,'Journal'!$X$6:$X$505,"&gt;0")&gt;0,"∞",0),SUMIFS('Journal'!$X$6:$X$505,'Journal'!$G$6:$G$505,$B91,'Journal'!$X$6:$X$505,"&gt;0")/ABS(SUMIFS('Journal'!$X$6:$X$505,'Journal'!$G$6:$G$505,$B91,'Journal'!$X$6:$X$505,"&lt;0")))))</f>
        <v/>
      </c>
      <c r="H91" s="144">
        <f>IF($B91="","",IF(C91=0,0,E91/C91))</f>
        <v/>
      </c>
    </row>
    <row r="92" ht="20" customHeight="1">
      <c r="B92" s="145">
        <f>IF('Listes'!C11="","",'Listes'!C11)</f>
        <v/>
      </c>
      <c r="C92" s="146">
        <f>IF($B92="","",COUNTIFS('Journal'!$G$6:$G$505,$B92,'Journal'!$X$6:$X$505,"&gt;-999999999"))</f>
        <v/>
      </c>
      <c r="D92" s="147">
        <f>IF($B92="","",IF(C92=0,0,COUNTIFS('Journal'!$G$6:$G$505,$B92,'Journal'!$X$6:$X$505,"&gt;0")/C92))</f>
        <v/>
      </c>
      <c r="E92" s="148">
        <f>IF($B92="","",SUMIFS('Journal'!$X$6:$X$505,'Journal'!$G$6:$G$505,$B92))</f>
        <v/>
      </c>
      <c r="F92" s="149">
        <f>IF($B92="","",IFERROR(AVERAGEIFS('Journal'!$AA$6:$AA$505,'Journal'!$G$6:$G$505,$B92),0))</f>
        <v/>
      </c>
      <c r="G92" s="150">
        <f>IF($B92="","",IF(C92=0,0,IF(SUMIFS('Journal'!$X$6:$X$505,'Journal'!$G$6:$G$505,$B92,'Journal'!$X$6:$X$505,"&lt;0")=0,IF(SUMIFS('Journal'!$X$6:$X$505,'Journal'!$G$6:$G$505,$B92,'Journal'!$X$6:$X$505,"&gt;0")&gt;0,"∞",0),SUMIFS('Journal'!$X$6:$X$505,'Journal'!$G$6:$G$505,$B92,'Journal'!$X$6:$X$505,"&gt;0")/ABS(SUMIFS('Journal'!$X$6:$X$505,'Journal'!$G$6:$G$505,$B92,'Journal'!$X$6:$X$505,"&lt;0")))))</f>
        <v/>
      </c>
      <c r="H92" s="151">
        <f>IF($B92="","",IF(C92=0,0,E92/C92))</f>
        <v/>
      </c>
    </row>
    <row r="93" ht="20" customHeight="1">
      <c r="B93" s="139">
        <f>IF('Listes'!C12="","",'Listes'!C12)</f>
        <v/>
      </c>
      <c r="C93" s="109">
        <f>IF($B93="","",COUNTIFS('Journal'!$G$6:$G$505,$B93,'Journal'!$X$6:$X$505,"&gt;-999999999"))</f>
        <v/>
      </c>
      <c r="D93" s="140">
        <f>IF($B93="","",IF(C93=0,0,COUNTIFS('Journal'!$G$6:$G$505,$B93,'Journal'!$X$6:$X$505,"&gt;0")/C93))</f>
        <v/>
      </c>
      <c r="E93" s="141">
        <f>IF($B93="","",SUMIFS('Journal'!$X$6:$X$505,'Journal'!$G$6:$G$505,$B93))</f>
        <v/>
      </c>
      <c r="F93" s="142">
        <f>IF($B93="","",IFERROR(AVERAGEIFS('Journal'!$AA$6:$AA$505,'Journal'!$G$6:$G$505,$B93),0))</f>
        <v/>
      </c>
      <c r="G93" s="143">
        <f>IF($B93="","",IF(C93=0,0,IF(SUMIFS('Journal'!$X$6:$X$505,'Journal'!$G$6:$G$505,$B93,'Journal'!$X$6:$X$505,"&lt;0")=0,IF(SUMIFS('Journal'!$X$6:$X$505,'Journal'!$G$6:$G$505,$B93,'Journal'!$X$6:$X$505,"&gt;0")&gt;0,"∞",0),SUMIFS('Journal'!$X$6:$X$505,'Journal'!$G$6:$G$505,$B93,'Journal'!$X$6:$X$505,"&gt;0")/ABS(SUMIFS('Journal'!$X$6:$X$505,'Journal'!$G$6:$G$505,$B93,'Journal'!$X$6:$X$505,"&lt;0")))))</f>
        <v/>
      </c>
      <c r="H93" s="144">
        <f>IF($B93="","",IF(C93=0,0,E93/C93))</f>
        <v/>
      </c>
    </row>
    <row r="96" ht="24" customHeight="1">
      <c r="B96" s="54" t="inlineStr">
        <is>
          <t>PAR JOUR D'ENTRÉE</t>
        </is>
      </c>
      <c r="C96" s="55" t="n"/>
      <c r="D96" s="55" t="n"/>
      <c r="E96" s="55" t="n"/>
      <c r="F96" s="55" t="n"/>
      <c r="G96" s="55" t="n"/>
      <c r="H96" s="55" t="n"/>
    </row>
    <row r="97" ht="26" customHeight="1">
      <c r="B97" s="117" t="inlineStr">
        <is>
          <t>Jour</t>
        </is>
      </c>
      <c r="C97" s="83" t="inlineStr">
        <is>
          <t>Trades</t>
        </is>
      </c>
      <c r="D97" s="83" t="inlineStr">
        <is>
          <t>Réussite</t>
        </is>
      </c>
      <c r="E97" s="83" t="inlineStr">
        <is>
          <t>P&amp;L net</t>
        </is>
      </c>
      <c r="F97" s="83" t="inlineStr">
        <is>
          <t>R moyen</t>
        </is>
      </c>
      <c r="G97" s="83" t="inlineStr">
        <is>
          <t>Profit F.</t>
        </is>
      </c>
      <c r="H97" s="83" t="inlineStr">
        <is>
          <t>Espérance</t>
        </is>
      </c>
    </row>
    <row r="98" ht="20" customHeight="1">
      <c r="B98" s="139" t="inlineStr">
        <is>
          <t>Lundi</t>
        </is>
      </c>
      <c r="C98" s="109">
        <f>IF($B98="","",COUNTIFS('Journal'!$AE$6:$AE$505,1,'Journal'!$X$6:$X$505,"&gt;-999999999"))</f>
        <v/>
      </c>
      <c r="D98" s="140">
        <f>IF($B98="","",IF(C98=0,0,COUNTIFS('Journal'!$AE$6:$AE$505,1,'Journal'!$X$6:$X$505,"&gt;0")/C98))</f>
        <v/>
      </c>
      <c r="E98" s="141">
        <f>IF($B98="","",SUMIFS('Journal'!$X$6:$X$505,'Journal'!$AE$6:$AE$505,1))</f>
        <v/>
      </c>
      <c r="F98" s="142">
        <f>IF($B98="","",IFERROR(AVERAGEIFS('Journal'!$AA$6:$AA$505,'Journal'!$AE$6:$AE$505,1),0))</f>
        <v/>
      </c>
      <c r="G98" s="143">
        <f>IF($B98="","",IF(C98=0,0,IF(SUMIFS('Journal'!$X$6:$X$505,'Journal'!$AE$6:$AE$505,1,'Journal'!$X$6:$X$505,"&lt;0")=0,IF(SUMIFS('Journal'!$X$6:$X$505,'Journal'!$AE$6:$AE$505,1,'Journal'!$X$6:$X$505,"&gt;0")&gt;0,"∞",0),SUMIFS('Journal'!$X$6:$X$505,'Journal'!$AE$6:$AE$505,1,'Journal'!$X$6:$X$505,"&gt;0")/ABS(SUMIFS('Journal'!$X$6:$X$505,'Journal'!$AE$6:$AE$505,1,'Journal'!$X$6:$X$505,"&lt;0")))))</f>
        <v/>
      </c>
      <c r="H98" s="144">
        <f>IF($B98="","",IF(C98=0,0,E98/C98))</f>
        <v/>
      </c>
    </row>
    <row r="99" ht="20" customHeight="1">
      <c r="B99" s="145" t="inlineStr">
        <is>
          <t>Mardi</t>
        </is>
      </c>
      <c r="C99" s="146">
        <f>IF($B99="","",COUNTIFS('Journal'!$AE$6:$AE$505,2,'Journal'!$X$6:$X$505,"&gt;-999999999"))</f>
        <v/>
      </c>
      <c r="D99" s="147">
        <f>IF($B99="","",IF(C99=0,0,COUNTIFS('Journal'!$AE$6:$AE$505,2,'Journal'!$X$6:$X$505,"&gt;0")/C99))</f>
        <v/>
      </c>
      <c r="E99" s="148">
        <f>IF($B99="","",SUMIFS('Journal'!$X$6:$X$505,'Journal'!$AE$6:$AE$505,2))</f>
        <v/>
      </c>
      <c r="F99" s="149">
        <f>IF($B99="","",IFERROR(AVERAGEIFS('Journal'!$AA$6:$AA$505,'Journal'!$AE$6:$AE$505,2),0))</f>
        <v/>
      </c>
      <c r="G99" s="150">
        <f>IF($B99="","",IF(C99=0,0,IF(SUMIFS('Journal'!$X$6:$X$505,'Journal'!$AE$6:$AE$505,2,'Journal'!$X$6:$X$505,"&lt;0")=0,IF(SUMIFS('Journal'!$X$6:$X$505,'Journal'!$AE$6:$AE$505,2,'Journal'!$X$6:$X$505,"&gt;0")&gt;0,"∞",0),SUMIFS('Journal'!$X$6:$X$505,'Journal'!$AE$6:$AE$505,2,'Journal'!$X$6:$X$505,"&gt;0")/ABS(SUMIFS('Journal'!$X$6:$X$505,'Journal'!$AE$6:$AE$505,2,'Journal'!$X$6:$X$505,"&lt;0")))))</f>
        <v/>
      </c>
      <c r="H99" s="151">
        <f>IF($B99="","",IF(C99=0,0,E99/C99))</f>
        <v/>
      </c>
    </row>
    <row r="100" ht="20" customHeight="1">
      <c r="B100" s="139" t="inlineStr">
        <is>
          <t>Mercredi</t>
        </is>
      </c>
      <c r="C100" s="109">
        <f>IF($B100="","",COUNTIFS('Journal'!$AE$6:$AE$505,3,'Journal'!$X$6:$X$505,"&gt;-999999999"))</f>
        <v/>
      </c>
      <c r="D100" s="140">
        <f>IF($B100="","",IF(C100=0,0,COUNTIFS('Journal'!$AE$6:$AE$505,3,'Journal'!$X$6:$X$505,"&gt;0")/C100))</f>
        <v/>
      </c>
      <c r="E100" s="141">
        <f>IF($B100="","",SUMIFS('Journal'!$X$6:$X$505,'Journal'!$AE$6:$AE$505,3))</f>
        <v/>
      </c>
      <c r="F100" s="142">
        <f>IF($B100="","",IFERROR(AVERAGEIFS('Journal'!$AA$6:$AA$505,'Journal'!$AE$6:$AE$505,3),0))</f>
        <v/>
      </c>
      <c r="G100" s="143">
        <f>IF($B100="","",IF(C100=0,0,IF(SUMIFS('Journal'!$X$6:$X$505,'Journal'!$AE$6:$AE$505,3,'Journal'!$X$6:$X$505,"&lt;0")=0,IF(SUMIFS('Journal'!$X$6:$X$505,'Journal'!$AE$6:$AE$505,3,'Journal'!$X$6:$X$505,"&gt;0")&gt;0,"∞",0),SUMIFS('Journal'!$X$6:$X$505,'Journal'!$AE$6:$AE$505,3,'Journal'!$X$6:$X$505,"&gt;0")/ABS(SUMIFS('Journal'!$X$6:$X$505,'Journal'!$AE$6:$AE$505,3,'Journal'!$X$6:$X$505,"&lt;0")))))</f>
        <v/>
      </c>
      <c r="H100" s="144">
        <f>IF($B100="","",IF(C100=0,0,E100/C100))</f>
        <v/>
      </c>
    </row>
    <row r="101" ht="20" customHeight="1">
      <c r="B101" s="145" t="inlineStr">
        <is>
          <t>Jeudi</t>
        </is>
      </c>
      <c r="C101" s="146">
        <f>IF($B101="","",COUNTIFS('Journal'!$AE$6:$AE$505,4,'Journal'!$X$6:$X$505,"&gt;-999999999"))</f>
        <v/>
      </c>
      <c r="D101" s="147">
        <f>IF($B101="","",IF(C101=0,0,COUNTIFS('Journal'!$AE$6:$AE$505,4,'Journal'!$X$6:$X$505,"&gt;0")/C101))</f>
        <v/>
      </c>
      <c r="E101" s="148">
        <f>IF($B101="","",SUMIFS('Journal'!$X$6:$X$505,'Journal'!$AE$6:$AE$505,4))</f>
        <v/>
      </c>
      <c r="F101" s="149">
        <f>IF($B101="","",IFERROR(AVERAGEIFS('Journal'!$AA$6:$AA$505,'Journal'!$AE$6:$AE$505,4),0))</f>
        <v/>
      </c>
      <c r="G101" s="150">
        <f>IF($B101="","",IF(C101=0,0,IF(SUMIFS('Journal'!$X$6:$X$505,'Journal'!$AE$6:$AE$505,4,'Journal'!$X$6:$X$505,"&lt;0")=0,IF(SUMIFS('Journal'!$X$6:$X$505,'Journal'!$AE$6:$AE$505,4,'Journal'!$X$6:$X$505,"&gt;0")&gt;0,"∞",0),SUMIFS('Journal'!$X$6:$X$505,'Journal'!$AE$6:$AE$505,4,'Journal'!$X$6:$X$505,"&gt;0")/ABS(SUMIFS('Journal'!$X$6:$X$505,'Journal'!$AE$6:$AE$505,4,'Journal'!$X$6:$X$505,"&lt;0")))))</f>
        <v/>
      </c>
      <c r="H101" s="151">
        <f>IF($B101="","",IF(C101=0,0,E101/C101))</f>
        <v/>
      </c>
    </row>
    <row r="102" ht="20" customHeight="1">
      <c r="B102" s="139" t="inlineStr">
        <is>
          <t>Vendredi</t>
        </is>
      </c>
      <c r="C102" s="109">
        <f>IF($B102="","",COUNTIFS('Journal'!$AE$6:$AE$505,5,'Journal'!$X$6:$X$505,"&gt;-999999999"))</f>
        <v/>
      </c>
      <c r="D102" s="140">
        <f>IF($B102="","",IF(C102=0,0,COUNTIFS('Journal'!$AE$6:$AE$505,5,'Journal'!$X$6:$X$505,"&gt;0")/C102))</f>
        <v/>
      </c>
      <c r="E102" s="141">
        <f>IF($B102="","",SUMIFS('Journal'!$X$6:$X$505,'Journal'!$AE$6:$AE$505,5))</f>
        <v/>
      </c>
      <c r="F102" s="142">
        <f>IF($B102="","",IFERROR(AVERAGEIFS('Journal'!$AA$6:$AA$505,'Journal'!$AE$6:$AE$505,5),0))</f>
        <v/>
      </c>
      <c r="G102" s="143">
        <f>IF($B102="","",IF(C102=0,0,IF(SUMIFS('Journal'!$X$6:$X$505,'Journal'!$AE$6:$AE$505,5,'Journal'!$X$6:$X$505,"&lt;0")=0,IF(SUMIFS('Journal'!$X$6:$X$505,'Journal'!$AE$6:$AE$505,5,'Journal'!$X$6:$X$505,"&gt;0")&gt;0,"∞",0),SUMIFS('Journal'!$X$6:$X$505,'Journal'!$AE$6:$AE$505,5,'Journal'!$X$6:$X$505,"&gt;0")/ABS(SUMIFS('Journal'!$X$6:$X$505,'Journal'!$AE$6:$AE$505,5,'Journal'!$X$6:$X$505,"&lt;0")))))</f>
        <v/>
      </c>
      <c r="H102" s="144">
        <f>IF($B102="","",IF(C102=0,0,E102/C102))</f>
        <v/>
      </c>
    </row>
    <row r="103" ht="20" customHeight="1">
      <c r="B103" s="145" t="inlineStr">
        <is>
          <t>Samedi</t>
        </is>
      </c>
      <c r="C103" s="146">
        <f>IF($B103="","",COUNTIFS('Journal'!$AE$6:$AE$505,6,'Journal'!$X$6:$X$505,"&gt;-999999999"))</f>
        <v/>
      </c>
      <c r="D103" s="147">
        <f>IF($B103="","",IF(C103=0,0,COUNTIFS('Journal'!$AE$6:$AE$505,6,'Journal'!$X$6:$X$505,"&gt;0")/C103))</f>
        <v/>
      </c>
      <c r="E103" s="148">
        <f>IF($B103="","",SUMIFS('Journal'!$X$6:$X$505,'Journal'!$AE$6:$AE$505,6))</f>
        <v/>
      </c>
      <c r="F103" s="149">
        <f>IF($B103="","",IFERROR(AVERAGEIFS('Journal'!$AA$6:$AA$505,'Journal'!$AE$6:$AE$505,6),0))</f>
        <v/>
      </c>
      <c r="G103" s="150">
        <f>IF($B103="","",IF(C103=0,0,IF(SUMIFS('Journal'!$X$6:$X$505,'Journal'!$AE$6:$AE$505,6,'Journal'!$X$6:$X$505,"&lt;0")=0,IF(SUMIFS('Journal'!$X$6:$X$505,'Journal'!$AE$6:$AE$505,6,'Journal'!$X$6:$X$505,"&gt;0")&gt;0,"∞",0),SUMIFS('Journal'!$X$6:$X$505,'Journal'!$AE$6:$AE$505,6,'Journal'!$X$6:$X$505,"&gt;0")/ABS(SUMIFS('Journal'!$X$6:$X$505,'Journal'!$AE$6:$AE$505,6,'Journal'!$X$6:$X$505,"&lt;0")))))</f>
        <v/>
      </c>
      <c r="H103" s="151">
        <f>IF($B103="","",IF(C103=0,0,E103/C103))</f>
        <v/>
      </c>
    </row>
    <row r="104" ht="20" customHeight="1">
      <c r="B104" s="139" t="inlineStr">
        <is>
          <t>Dimanche</t>
        </is>
      </c>
      <c r="C104" s="109">
        <f>IF($B104="","",COUNTIFS('Journal'!$AE$6:$AE$505,7,'Journal'!$X$6:$X$505,"&gt;-999999999"))</f>
        <v/>
      </c>
      <c r="D104" s="140">
        <f>IF($B104="","",IF(C104=0,0,COUNTIFS('Journal'!$AE$6:$AE$505,7,'Journal'!$X$6:$X$505,"&gt;0")/C104))</f>
        <v/>
      </c>
      <c r="E104" s="141">
        <f>IF($B104="","",SUMIFS('Journal'!$X$6:$X$505,'Journal'!$AE$6:$AE$505,7))</f>
        <v/>
      </c>
      <c r="F104" s="142">
        <f>IF($B104="","",IFERROR(AVERAGEIFS('Journal'!$AA$6:$AA$505,'Journal'!$AE$6:$AE$505,7),0))</f>
        <v/>
      </c>
      <c r="G104" s="143">
        <f>IF($B104="","",IF(C104=0,0,IF(SUMIFS('Journal'!$X$6:$X$505,'Journal'!$AE$6:$AE$505,7,'Journal'!$X$6:$X$505,"&lt;0")=0,IF(SUMIFS('Journal'!$X$6:$X$505,'Journal'!$AE$6:$AE$505,7,'Journal'!$X$6:$X$505,"&gt;0")&gt;0,"∞",0),SUMIFS('Journal'!$X$6:$X$505,'Journal'!$AE$6:$AE$505,7,'Journal'!$X$6:$X$505,"&gt;0")/ABS(SUMIFS('Journal'!$X$6:$X$505,'Journal'!$AE$6:$AE$505,7,'Journal'!$X$6:$X$505,"&lt;0")))))</f>
        <v/>
      </c>
      <c r="H104" s="144">
        <f>IF($B104="","",IF(C104=0,0,E104/C104))</f>
        <v/>
      </c>
    </row>
    <row r="112" ht="24" customHeight="1">
      <c r="B112" s="14" t="inlineStr">
        <is>
          <t>PAR MOIS (ANNÉE D'ANALYSE)</t>
        </is>
      </c>
      <c r="C112" s="15" t="n"/>
      <c r="D112" s="15" t="n"/>
      <c r="E112" s="15" t="n"/>
      <c r="F112" s="15" t="n"/>
      <c r="G112" s="15" t="n"/>
      <c r="H112" s="15" t="n"/>
    </row>
    <row r="113" ht="26" customHeight="1">
      <c r="B113" s="117" t="inlineStr">
        <is>
          <t>Mois</t>
        </is>
      </c>
      <c r="C113" s="83" t="inlineStr">
        <is>
          <t>Trades</t>
        </is>
      </c>
      <c r="D113" s="83" t="inlineStr">
        <is>
          <t>Réussite</t>
        </is>
      </c>
      <c r="E113" s="83" t="inlineStr">
        <is>
          <t>P&amp;L net</t>
        </is>
      </c>
      <c r="F113" s="83" t="inlineStr">
        <is>
          <t>R moyen</t>
        </is>
      </c>
      <c r="G113" s="83" t="inlineStr">
        <is>
          <t>Profit F.</t>
        </is>
      </c>
      <c r="H113" s="83" t="inlineStr">
        <is>
          <t>Espérance</t>
        </is>
      </c>
    </row>
    <row r="114" ht="20" customHeight="1">
      <c r="B114" s="139" t="inlineStr">
        <is>
          <t>Janvier</t>
        </is>
      </c>
      <c r="C114" s="109">
        <f>IF($B114="","",COUNTIFS('Journal'!$AD$6:$AD$505,"&gt;="&amp;DATE('Paramètres'!$C$12,1,1),'Journal'!$AD$6:$AD$505,"&lt;"&amp;DATE('Paramètres'!$C$12,2,1),'Journal'!$X$6:$X$505,"&gt;-999999999"))</f>
        <v/>
      </c>
      <c r="D114" s="140">
        <f>IF($B114="","",IF(C114=0,0,COUNTIFS('Journal'!$AD$6:$AD$505,"&gt;="&amp;DATE('Paramètres'!$C$12,1,1),'Journal'!$AD$6:$AD$505,"&lt;"&amp;DATE('Paramètres'!$C$12,2,1),'Journal'!$X$6:$X$505,"&gt;0")/C114))</f>
        <v/>
      </c>
      <c r="E114" s="141">
        <f>IF($B114="","",SUMIFS('Journal'!$X$6:$X$505,'Journal'!$AD$6:$AD$505,"&gt;="&amp;DATE('Paramètres'!$C$12,1,1),'Journal'!$AD$6:$AD$505,"&lt;"&amp;DATE('Paramètres'!$C$12,2,1)))</f>
        <v/>
      </c>
      <c r="F114" s="142">
        <f>IF($B114="","",IFERROR(AVERAGEIFS('Journal'!$AA$6:$AA$505,'Journal'!$AD$6:$AD$505,"&gt;="&amp;DATE('Paramètres'!$C$12,1,1),'Journal'!$AD$6:$AD$505,"&lt;"&amp;DATE('Paramètres'!$C$12,2,1)),0))</f>
        <v/>
      </c>
      <c r="G114" s="143">
        <f>IF($B114="","",IF(C114=0,0,IF(SUMIFS('Journal'!$X$6:$X$505,'Journal'!$AD$6:$AD$505,"&gt;="&amp;DATE('Paramètres'!$C$12,1,1),'Journal'!$AD$6:$AD$505,"&lt;"&amp;DATE('Paramètres'!$C$12,2,1),'Journal'!$X$6:$X$505,"&lt;0")=0,IF(SUMIFS('Journal'!$X$6:$X$505,'Journal'!$AD$6:$AD$505,"&gt;="&amp;DATE('Paramètres'!$C$12,1,1),'Journal'!$AD$6:$AD$505,"&lt;"&amp;DATE('Paramètres'!$C$12,2,1),'Journal'!$X$6:$X$505,"&gt;0")&gt;0,"∞",0),SUMIFS('Journal'!$X$6:$X$505,'Journal'!$AD$6:$AD$505,"&gt;="&amp;DATE('Paramètres'!$C$12,1,1),'Journal'!$AD$6:$AD$505,"&lt;"&amp;DATE('Paramètres'!$C$12,2,1),'Journal'!$X$6:$X$505,"&gt;0")/ABS(SUMIFS('Journal'!$X$6:$X$505,'Journal'!$AD$6:$AD$505,"&gt;="&amp;DATE('Paramètres'!$C$12,1,1),'Journal'!$AD$6:$AD$505,"&lt;"&amp;DATE('Paramètres'!$C$12,2,1),'Journal'!$X$6:$X$505,"&lt;0")))))</f>
        <v/>
      </c>
      <c r="H114" s="144">
        <f>IF($B114="","",IF(C114=0,0,E114/C114))</f>
        <v/>
      </c>
    </row>
    <row r="115" ht="20" customHeight="1">
      <c r="B115" s="145" t="inlineStr">
        <is>
          <t>Février</t>
        </is>
      </c>
      <c r="C115" s="146">
        <f>IF($B115="","",COUNTIFS('Journal'!$AD$6:$AD$505,"&gt;="&amp;DATE('Paramètres'!$C$12,2,1),'Journal'!$AD$6:$AD$505,"&lt;"&amp;DATE('Paramètres'!$C$12,3,1),'Journal'!$X$6:$X$505,"&gt;-999999999"))</f>
        <v/>
      </c>
      <c r="D115" s="147">
        <f>IF($B115="","",IF(C115=0,0,COUNTIFS('Journal'!$AD$6:$AD$505,"&gt;="&amp;DATE('Paramètres'!$C$12,2,1),'Journal'!$AD$6:$AD$505,"&lt;"&amp;DATE('Paramètres'!$C$12,3,1),'Journal'!$X$6:$X$505,"&gt;0")/C115))</f>
        <v/>
      </c>
      <c r="E115" s="148">
        <f>IF($B115="","",SUMIFS('Journal'!$X$6:$X$505,'Journal'!$AD$6:$AD$505,"&gt;="&amp;DATE('Paramètres'!$C$12,2,1),'Journal'!$AD$6:$AD$505,"&lt;"&amp;DATE('Paramètres'!$C$12,3,1)))</f>
        <v/>
      </c>
      <c r="F115" s="149">
        <f>IF($B115="","",IFERROR(AVERAGEIFS('Journal'!$AA$6:$AA$505,'Journal'!$AD$6:$AD$505,"&gt;="&amp;DATE('Paramètres'!$C$12,2,1),'Journal'!$AD$6:$AD$505,"&lt;"&amp;DATE('Paramètres'!$C$12,3,1)),0))</f>
        <v/>
      </c>
      <c r="G115" s="150">
        <f>IF($B115="","",IF(C115=0,0,IF(SUMIFS('Journal'!$X$6:$X$505,'Journal'!$AD$6:$AD$505,"&gt;="&amp;DATE('Paramètres'!$C$12,2,1),'Journal'!$AD$6:$AD$505,"&lt;"&amp;DATE('Paramètres'!$C$12,3,1),'Journal'!$X$6:$X$505,"&lt;0")=0,IF(SUMIFS('Journal'!$X$6:$X$505,'Journal'!$AD$6:$AD$505,"&gt;="&amp;DATE('Paramètres'!$C$12,2,1),'Journal'!$AD$6:$AD$505,"&lt;"&amp;DATE('Paramètres'!$C$12,3,1),'Journal'!$X$6:$X$505,"&gt;0")&gt;0,"∞",0),SUMIFS('Journal'!$X$6:$X$505,'Journal'!$AD$6:$AD$505,"&gt;="&amp;DATE('Paramètres'!$C$12,2,1),'Journal'!$AD$6:$AD$505,"&lt;"&amp;DATE('Paramètres'!$C$12,3,1),'Journal'!$X$6:$X$505,"&gt;0")/ABS(SUMIFS('Journal'!$X$6:$X$505,'Journal'!$AD$6:$AD$505,"&gt;="&amp;DATE('Paramètres'!$C$12,2,1),'Journal'!$AD$6:$AD$505,"&lt;"&amp;DATE('Paramètres'!$C$12,3,1),'Journal'!$X$6:$X$505,"&lt;0")))))</f>
        <v/>
      </c>
      <c r="H115" s="151">
        <f>IF($B115="","",IF(C115=0,0,E115/C115))</f>
        <v/>
      </c>
    </row>
    <row r="116" ht="20" customHeight="1">
      <c r="B116" s="139" t="inlineStr">
        <is>
          <t>Mars</t>
        </is>
      </c>
      <c r="C116" s="109">
        <f>IF($B116="","",COUNTIFS('Journal'!$AD$6:$AD$505,"&gt;="&amp;DATE('Paramètres'!$C$12,3,1),'Journal'!$AD$6:$AD$505,"&lt;"&amp;DATE('Paramètres'!$C$12,4,1),'Journal'!$X$6:$X$505,"&gt;-999999999"))</f>
        <v/>
      </c>
      <c r="D116" s="140">
        <f>IF($B116="","",IF(C116=0,0,COUNTIFS('Journal'!$AD$6:$AD$505,"&gt;="&amp;DATE('Paramètres'!$C$12,3,1),'Journal'!$AD$6:$AD$505,"&lt;"&amp;DATE('Paramètres'!$C$12,4,1),'Journal'!$X$6:$X$505,"&gt;0")/C116))</f>
        <v/>
      </c>
      <c r="E116" s="141">
        <f>IF($B116="","",SUMIFS('Journal'!$X$6:$X$505,'Journal'!$AD$6:$AD$505,"&gt;="&amp;DATE('Paramètres'!$C$12,3,1),'Journal'!$AD$6:$AD$505,"&lt;"&amp;DATE('Paramètres'!$C$12,4,1)))</f>
        <v/>
      </c>
      <c r="F116" s="142">
        <f>IF($B116="","",IFERROR(AVERAGEIFS('Journal'!$AA$6:$AA$505,'Journal'!$AD$6:$AD$505,"&gt;="&amp;DATE('Paramètres'!$C$12,3,1),'Journal'!$AD$6:$AD$505,"&lt;"&amp;DATE('Paramètres'!$C$12,4,1)),0))</f>
        <v/>
      </c>
      <c r="G116" s="143">
        <f>IF($B116="","",IF(C116=0,0,IF(SUMIFS('Journal'!$X$6:$X$505,'Journal'!$AD$6:$AD$505,"&gt;="&amp;DATE('Paramètres'!$C$12,3,1),'Journal'!$AD$6:$AD$505,"&lt;"&amp;DATE('Paramètres'!$C$12,4,1),'Journal'!$X$6:$X$505,"&lt;0")=0,IF(SUMIFS('Journal'!$X$6:$X$505,'Journal'!$AD$6:$AD$505,"&gt;="&amp;DATE('Paramètres'!$C$12,3,1),'Journal'!$AD$6:$AD$505,"&lt;"&amp;DATE('Paramètres'!$C$12,4,1),'Journal'!$X$6:$X$505,"&gt;0")&gt;0,"∞",0),SUMIFS('Journal'!$X$6:$X$505,'Journal'!$AD$6:$AD$505,"&gt;="&amp;DATE('Paramètres'!$C$12,3,1),'Journal'!$AD$6:$AD$505,"&lt;"&amp;DATE('Paramètres'!$C$12,4,1),'Journal'!$X$6:$X$505,"&gt;0")/ABS(SUMIFS('Journal'!$X$6:$X$505,'Journal'!$AD$6:$AD$505,"&gt;="&amp;DATE('Paramètres'!$C$12,3,1),'Journal'!$AD$6:$AD$505,"&lt;"&amp;DATE('Paramètres'!$C$12,4,1),'Journal'!$X$6:$X$505,"&lt;0")))))</f>
        <v/>
      </c>
      <c r="H116" s="144">
        <f>IF($B116="","",IF(C116=0,0,E116/C116))</f>
        <v/>
      </c>
    </row>
    <row r="117" ht="20" customHeight="1">
      <c r="B117" s="145" t="inlineStr">
        <is>
          <t>Avril</t>
        </is>
      </c>
      <c r="C117" s="146">
        <f>IF($B117="","",COUNTIFS('Journal'!$AD$6:$AD$505,"&gt;="&amp;DATE('Paramètres'!$C$12,4,1),'Journal'!$AD$6:$AD$505,"&lt;"&amp;DATE('Paramètres'!$C$12,5,1),'Journal'!$X$6:$X$505,"&gt;-999999999"))</f>
        <v/>
      </c>
      <c r="D117" s="147">
        <f>IF($B117="","",IF(C117=0,0,COUNTIFS('Journal'!$AD$6:$AD$505,"&gt;="&amp;DATE('Paramètres'!$C$12,4,1),'Journal'!$AD$6:$AD$505,"&lt;"&amp;DATE('Paramètres'!$C$12,5,1),'Journal'!$X$6:$X$505,"&gt;0")/C117))</f>
        <v/>
      </c>
      <c r="E117" s="148">
        <f>IF($B117="","",SUMIFS('Journal'!$X$6:$X$505,'Journal'!$AD$6:$AD$505,"&gt;="&amp;DATE('Paramètres'!$C$12,4,1),'Journal'!$AD$6:$AD$505,"&lt;"&amp;DATE('Paramètres'!$C$12,5,1)))</f>
        <v/>
      </c>
      <c r="F117" s="149">
        <f>IF($B117="","",IFERROR(AVERAGEIFS('Journal'!$AA$6:$AA$505,'Journal'!$AD$6:$AD$505,"&gt;="&amp;DATE('Paramètres'!$C$12,4,1),'Journal'!$AD$6:$AD$505,"&lt;"&amp;DATE('Paramètres'!$C$12,5,1)),0))</f>
        <v/>
      </c>
      <c r="G117" s="150">
        <f>IF($B117="","",IF(C117=0,0,IF(SUMIFS('Journal'!$X$6:$X$505,'Journal'!$AD$6:$AD$505,"&gt;="&amp;DATE('Paramètres'!$C$12,4,1),'Journal'!$AD$6:$AD$505,"&lt;"&amp;DATE('Paramètres'!$C$12,5,1),'Journal'!$X$6:$X$505,"&lt;0")=0,IF(SUMIFS('Journal'!$X$6:$X$505,'Journal'!$AD$6:$AD$505,"&gt;="&amp;DATE('Paramètres'!$C$12,4,1),'Journal'!$AD$6:$AD$505,"&lt;"&amp;DATE('Paramètres'!$C$12,5,1),'Journal'!$X$6:$X$505,"&gt;0")&gt;0,"∞",0),SUMIFS('Journal'!$X$6:$X$505,'Journal'!$AD$6:$AD$505,"&gt;="&amp;DATE('Paramètres'!$C$12,4,1),'Journal'!$AD$6:$AD$505,"&lt;"&amp;DATE('Paramètres'!$C$12,5,1),'Journal'!$X$6:$X$505,"&gt;0")/ABS(SUMIFS('Journal'!$X$6:$X$505,'Journal'!$AD$6:$AD$505,"&gt;="&amp;DATE('Paramètres'!$C$12,4,1),'Journal'!$AD$6:$AD$505,"&lt;"&amp;DATE('Paramètres'!$C$12,5,1),'Journal'!$X$6:$X$505,"&lt;0")))))</f>
        <v/>
      </c>
      <c r="H117" s="151">
        <f>IF($B117="","",IF(C117=0,0,E117/C117))</f>
        <v/>
      </c>
    </row>
    <row r="118" ht="20" customHeight="1">
      <c r="B118" s="139" t="inlineStr">
        <is>
          <t>Mai</t>
        </is>
      </c>
      <c r="C118" s="109">
        <f>IF($B118="","",COUNTIFS('Journal'!$AD$6:$AD$505,"&gt;="&amp;DATE('Paramètres'!$C$12,5,1),'Journal'!$AD$6:$AD$505,"&lt;"&amp;DATE('Paramètres'!$C$12,6,1),'Journal'!$X$6:$X$505,"&gt;-999999999"))</f>
        <v/>
      </c>
      <c r="D118" s="140">
        <f>IF($B118="","",IF(C118=0,0,COUNTIFS('Journal'!$AD$6:$AD$505,"&gt;="&amp;DATE('Paramètres'!$C$12,5,1),'Journal'!$AD$6:$AD$505,"&lt;"&amp;DATE('Paramètres'!$C$12,6,1),'Journal'!$X$6:$X$505,"&gt;0")/C118))</f>
        <v/>
      </c>
      <c r="E118" s="141">
        <f>IF($B118="","",SUMIFS('Journal'!$X$6:$X$505,'Journal'!$AD$6:$AD$505,"&gt;="&amp;DATE('Paramètres'!$C$12,5,1),'Journal'!$AD$6:$AD$505,"&lt;"&amp;DATE('Paramètres'!$C$12,6,1)))</f>
        <v/>
      </c>
      <c r="F118" s="142">
        <f>IF($B118="","",IFERROR(AVERAGEIFS('Journal'!$AA$6:$AA$505,'Journal'!$AD$6:$AD$505,"&gt;="&amp;DATE('Paramètres'!$C$12,5,1),'Journal'!$AD$6:$AD$505,"&lt;"&amp;DATE('Paramètres'!$C$12,6,1)),0))</f>
        <v/>
      </c>
      <c r="G118" s="143">
        <f>IF($B118="","",IF(C118=0,0,IF(SUMIFS('Journal'!$X$6:$X$505,'Journal'!$AD$6:$AD$505,"&gt;="&amp;DATE('Paramètres'!$C$12,5,1),'Journal'!$AD$6:$AD$505,"&lt;"&amp;DATE('Paramètres'!$C$12,6,1),'Journal'!$X$6:$X$505,"&lt;0")=0,IF(SUMIFS('Journal'!$X$6:$X$505,'Journal'!$AD$6:$AD$505,"&gt;="&amp;DATE('Paramètres'!$C$12,5,1),'Journal'!$AD$6:$AD$505,"&lt;"&amp;DATE('Paramètres'!$C$12,6,1),'Journal'!$X$6:$X$505,"&gt;0")&gt;0,"∞",0),SUMIFS('Journal'!$X$6:$X$505,'Journal'!$AD$6:$AD$505,"&gt;="&amp;DATE('Paramètres'!$C$12,5,1),'Journal'!$AD$6:$AD$505,"&lt;"&amp;DATE('Paramètres'!$C$12,6,1),'Journal'!$X$6:$X$505,"&gt;0")/ABS(SUMIFS('Journal'!$X$6:$X$505,'Journal'!$AD$6:$AD$505,"&gt;="&amp;DATE('Paramètres'!$C$12,5,1),'Journal'!$AD$6:$AD$505,"&lt;"&amp;DATE('Paramètres'!$C$12,6,1),'Journal'!$X$6:$X$505,"&lt;0")))))</f>
        <v/>
      </c>
      <c r="H118" s="144">
        <f>IF($B118="","",IF(C118=0,0,E118/C118))</f>
        <v/>
      </c>
    </row>
    <row r="119" ht="20" customHeight="1">
      <c r="B119" s="145" t="inlineStr">
        <is>
          <t>Juin</t>
        </is>
      </c>
      <c r="C119" s="146">
        <f>IF($B119="","",COUNTIFS('Journal'!$AD$6:$AD$505,"&gt;="&amp;DATE('Paramètres'!$C$12,6,1),'Journal'!$AD$6:$AD$505,"&lt;"&amp;DATE('Paramètres'!$C$12,7,1),'Journal'!$X$6:$X$505,"&gt;-999999999"))</f>
        <v/>
      </c>
      <c r="D119" s="147">
        <f>IF($B119="","",IF(C119=0,0,COUNTIFS('Journal'!$AD$6:$AD$505,"&gt;="&amp;DATE('Paramètres'!$C$12,6,1),'Journal'!$AD$6:$AD$505,"&lt;"&amp;DATE('Paramètres'!$C$12,7,1),'Journal'!$X$6:$X$505,"&gt;0")/C119))</f>
        <v/>
      </c>
      <c r="E119" s="148">
        <f>IF($B119="","",SUMIFS('Journal'!$X$6:$X$505,'Journal'!$AD$6:$AD$505,"&gt;="&amp;DATE('Paramètres'!$C$12,6,1),'Journal'!$AD$6:$AD$505,"&lt;"&amp;DATE('Paramètres'!$C$12,7,1)))</f>
        <v/>
      </c>
      <c r="F119" s="149">
        <f>IF($B119="","",IFERROR(AVERAGEIFS('Journal'!$AA$6:$AA$505,'Journal'!$AD$6:$AD$505,"&gt;="&amp;DATE('Paramètres'!$C$12,6,1),'Journal'!$AD$6:$AD$505,"&lt;"&amp;DATE('Paramètres'!$C$12,7,1)),0))</f>
        <v/>
      </c>
      <c r="G119" s="150">
        <f>IF($B119="","",IF(C119=0,0,IF(SUMIFS('Journal'!$X$6:$X$505,'Journal'!$AD$6:$AD$505,"&gt;="&amp;DATE('Paramètres'!$C$12,6,1),'Journal'!$AD$6:$AD$505,"&lt;"&amp;DATE('Paramètres'!$C$12,7,1),'Journal'!$X$6:$X$505,"&lt;0")=0,IF(SUMIFS('Journal'!$X$6:$X$505,'Journal'!$AD$6:$AD$505,"&gt;="&amp;DATE('Paramètres'!$C$12,6,1),'Journal'!$AD$6:$AD$505,"&lt;"&amp;DATE('Paramètres'!$C$12,7,1),'Journal'!$X$6:$X$505,"&gt;0")&gt;0,"∞",0),SUMIFS('Journal'!$X$6:$X$505,'Journal'!$AD$6:$AD$505,"&gt;="&amp;DATE('Paramètres'!$C$12,6,1),'Journal'!$AD$6:$AD$505,"&lt;"&amp;DATE('Paramètres'!$C$12,7,1),'Journal'!$X$6:$X$505,"&gt;0")/ABS(SUMIFS('Journal'!$X$6:$X$505,'Journal'!$AD$6:$AD$505,"&gt;="&amp;DATE('Paramètres'!$C$12,6,1),'Journal'!$AD$6:$AD$505,"&lt;"&amp;DATE('Paramètres'!$C$12,7,1),'Journal'!$X$6:$X$505,"&lt;0")))))</f>
        <v/>
      </c>
      <c r="H119" s="151">
        <f>IF($B119="","",IF(C119=0,0,E119/C119))</f>
        <v/>
      </c>
    </row>
    <row r="120" ht="20" customHeight="1">
      <c r="B120" s="139" t="inlineStr">
        <is>
          <t>Juillet</t>
        </is>
      </c>
      <c r="C120" s="109">
        <f>IF($B120="","",COUNTIFS('Journal'!$AD$6:$AD$505,"&gt;="&amp;DATE('Paramètres'!$C$12,7,1),'Journal'!$AD$6:$AD$505,"&lt;"&amp;DATE('Paramètres'!$C$12,8,1),'Journal'!$X$6:$X$505,"&gt;-999999999"))</f>
        <v/>
      </c>
      <c r="D120" s="140">
        <f>IF($B120="","",IF(C120=0,0,COUNTIFS('Journal'!$AD$6:$AD$505,"&gt;="&amp;DATE('Paramètres'!$C$12,7,1),'Journal'!$AD$6:$AD$505,"&lt;"&amp;DATE('Paramètres'!$C$12,8,1),'Journal'!$X$6:$X$505,"&gt;0")/C120))</f>
        <v/>
      </c>
      <c r="E120" s="141">
        <f>IF($B120="","",SUMIFS('Journal'!$X$6:$X$505,'Journal'!$AD$6:$AD$505,"&gt;="&amp;DATE('Paramètres'!$C$12,7,1),'Journal'!$AD$6:$AD$505,"&lt;"&amp;DATE('Paramètres'!$C$12,8,1)))</f>
        <v/>
      </c>
      <c r="F120" s="142">
        <f>IF($B120="","",IFERROR(AVERAGEIFS('Journal'!$AA$6:$AA$505,'Journal'!$AD$6:$AD$505,"&gt;="&amp;DATE('Paramètres'!$C$12,7,1),'Journal'!$AD$6:$AD$505,"&lt;"&amp;DATE('Paramètres'!$C$12,8,1)),0))</f>
        <v/>
      </c>
      <c r="G120" s="143">
        <f>IF($B120="","",IF(C120=0,0,IF(SUMIFS('Journal'!$X$6:$X$505,'Journal'!$AD$6:$AD$505,"&gt;="&amp;DATE('Paramètres'!$C$12,7,1),'Journal'!$AD$6:$AD$505,"&lt;"&amp;DATE('Paramètres'!$C$12,8,1),'Journal'!$X$6:$X$505,"&lt;0")=0,IF(SUMIFS('Journal'!$X$6:$X$505,'Journal'!$AD$6:$AD$505,"&gt;="&amp;DATE('Paramètres'!$C$12,7,1),'Journal'!$AD$6:$AD$505,"&lt;"&amp;DATE('Paramètres'!$C$12,8,1),'Journal'!$X$6:$X$505,"&gt;0")&gt;0,"∞",0),SUMIFS('Journal'!$X$6:$X$505,'Journal'!$AD$6:$AD$505,"&gt;="&amp;DATE('Paramètres'!$C$12,7,1),'Journal'!$AD$6:$AD$505,"&lt;"&amp;DATE('Paramètres'!$C$12,8,1),'Journal'!$X$6:$X$505,"&gt;0")/ABS(SUMIFS('Journal'!$X$6:$X$505,'Journal'!$AD$6:$AD$505,"&gt;="&amp;DATE('Paramètres'!$C$12,7,1),'Journal'!$AD$6:$AD$505,"&lt;"&amp;DATE('Paramètres'!$C$12,8,1),'Journal'!$X$6:$X$505,"&lt;0")))))</f>
        <v/>
      </c>
      <c r="H120" s="144">
        <f>IF($B120="","",IF(C120=0,0,E120/C120))</f>
        <v/>
      </c>
    </row>
    <row r="121" ht="20" customHeight="1">
      <c r="B121" s="145" t="inlineStr">
        <is>
          <t>Août</t>
        </is>
      </c>
      <c r="C121" s="146">
        <f>IF($B121="","",COUNTIFS('Journal'!$AD$6:$AD$505,"&gt;="&amp;DATE('Paramètres'!$C$12,8,1),'Journal'!$AD$6:$AD$505,"&lt;"&amp;DATE('Paramètres'!$C$12,9,1),'Journal'!$X$6:$X$505,"&gt;-999999999"))</f>
        <v/>
      </c>
      <c r="D121" s="147">
        <f>IF($B121="","",IF(C121=0,0,COUNTIFS('Journal'!$AD$6:$AD$505,"&gt;="&amp;DATE('Paramètres'!$C$12,8,1),'Journal'!$AD$6:$AD$505,"&lt;"&amp;DATE('Paramètres'!$C$12,9,1),'Journal'!$X$6:$X$505,"&gt;0")/C121))</f>
        <v/>
      </c>
      <c r="E121" s="148">
        <f>IF($B121="","",SUMIFS('Journal'!$X$6:$X$505,'Journal'!$AD$6:$AD$505,"&gt;="&amp;DATE('Paramètres'!$C$12,8,1),'Journal'!$AD$6:$AD$505,"&lt;"&amp;DATE('Paramètres'!$C$12,9,1)))</f>
        <v/>
      </c>
      <c r="F121" s="149">
        <f>IF($B121="","",IFERROR(AVERAGEIFS('Journal'!$AA$6:$AA$505,'Journal'!$AD$6:$AD$505,"&gt;="&amp;DATE('Paramètres'!$C$12,8,1),'Journal'!$AD$6:$AD$505,"&lt;"&amp;DATE('Paramètres'!$C$12,9,1)),0))</f>
        <v/>
      </c>
      <c r="G121" s="150">
        <f>IF($B121="","",IF(C121=0,0,IF(SUMIFS('Journal'!$X$6:$X$505,'Journal'!$AD$6:$AD$505,"&gt;="&amp;DATE('Paramètres'!$C$12,8,1),'Journal'!$AD$6:$AD$505,"&lt;"&amp;DATE('Paramètres'!$C$12,9,1),'Journal'!$X$6:$X$505,"&lt;0")=0,IF(SUMIFS('Journal'!$X$6:$X$505,'Journal'!$AD$6:$AD$505,"&gt;="&amp;DATE('Paramètres'!$C$12,8,1),'Journal'!$AD$6:$AD$505,"&lt;"&amp;DATE('Paramètres'!$C$12,9,1),'Journal'!$X$6:$X$505,"&gt;0")&gt;0,"∞",0),SUMIFS('Journal'!$X$6:$X$505,'Journal'!$AD$6:$AD$505,"&gt;="&amp;DATE('Paramètres'!$C$12,8,1),'Journal'!$AD$6:$AD$505,"&lt;"&amp;DATE('Paramètres'!$C$12,9,1),'Journal'!$X$6:$X$505,"&gt;0")/ABS(SUMIFS('Journal'!$X$6:$X$505,'Journal'!$AD$6:$AD$505,"&gt;="&amp;DATE('Paramètres'!$C$12,8,1),'Journal'!$AD$6:$AD$505,"&lt;"&amp;DATE('Paramètres'!$C$12,9,1),'Journal'!$X$6:$X$505,"&lt;0")))))</f>
        <v/>
      </c>
      <c r="H121" s="151">
        <f>IF($B121="","",IF(C121=0,0,E121/C121))</f>
        <v/>
      </c>
    </row>
    <row r="122" ht="20" customHeight="1">
      <c r="B122" s="139" t="inlineStr">
        <is>
          <t>Septembre</t>
        </is>
      </c>
      <c r="C122" s="109">
        <f>IF($B122="","",COUNTIFS('Journal'!$AD$6:$AD$505,"&gt;="&amp;DATE('Paramètres'!$C$12,9,1),'Journal'!$AD$6:$AD$505,"&lt;"&amp;DATE('Paramètres'!$C$12,10,1),'Journal'!$X$6:$X$505,"&gt;-999999999"))</f>
        <v/>
      </c>
      <c r="D122" s="140">
        <f>IF($B122="","",IF(C122=0,0,COUNTIFS('Journal'!$AD$6:$AD$505,"&gt;="&amp;DATE('Paramètres'!$C$12,9,1),'Journal'!$AD$6:$AD$505,"&lt;"&amp;DATE('Paramètres'!$C$12,10,1),'Journal'!$X$6:$X$505,"&gt;0")/C122))</f>
        <v/>
      </c>
      <c r="E122" s="141">
        <f>IF($B122="","",SUMIFS('Journal'!$X$6:$X$505,'Journal'!$AD$6:$AD$505,"&gt;="&amp;DATE('Paramètres'!$C$12,9,1),'Journal'!$AD$6:$AD$505,"&lt;"&amp;DATE('Paramètres'!$C$12,10,1)))</f>
        <v/>
      </c>
      <c r="F122" s="142">
        <f>IF($B122="","",IFERROR(AVERAGEIFS('Journal'!$AA$6:$AA$505,'Journal'!$AD$6:$AD$505,"&gt;="&amp;DATE('Paramètres'!$C$12,9,1),'Journal'!$AD$6:$AD$505,"&lt;"&amp;DATE('Paramètres'!$C$12,10,1)),0))</f>
        <v/>
      </c>
      <c r="G122" s="143">
        <f>IF($B122="","",IF(C122=0,0,IF(SUMIFS('Journal'!$X$6:$X$505,'Journal'!$AD$6:$AD$505,"&gt;="&amp;DATE('Paramètres'!$C$12,9,1),'Journal'!$AD$6:$AD$505,"&lt;"&amp;DATE('Paramètres'!$C$12,10,1),'Journal'!$X$6:$X$505,"&lt;0")=0,IF(SUMIFS('Journal'!$X$6:$X$505,'Journal'!$AD$6:$AD$505,"&gt;="&amp;DATE('Paramètres'!$C$12,9,1),'Journal'!$AD$6:$AD$505,"&lt;"&amp;DATE('Paramètres'!$C$12,10,1),'Journal'!$X$6:$X$505,"&gt;0")&gt;0,"∞",0),SUMIFS('Journal'!$X$6:$X$505,'Journal'!$AD$6:$AD$505,"&gt;="&amp;DATE('Paramètres'!$C$12,9,1),'Journal'!$AD$6:$AD$505,"&lt;"&amp;DATE('Paramètres'!$C$12,10,1),'Journal'!$X$6:$X$505,"&gt;0")/ABS(SUMIFS('Journal'!$X$6:$X$505,'Journal'!$AD$6:$AD$505,"&gt;="&amp;DATE('Paramètres'!$C$12,9,1),'Journal'!$AD$6:$AD$505,"&lt;"&amp;DATE('Paramètres'!$C$12,10,1),'Journal'!$X$6:$X$505,"&lt;0")))))</f>
        <v/>
      </c>
      <c r="H122" s="144">
        <f>IF($B122="","",IF(C122=0,0,E122/C122))</f>
        <v/>
      </c>
    </row>
    <row r="123" ht="20" customHeight="1">
      <c r="B123" s="145" t="inlineStr">
        <is>
          <t>Octobre</t>
        </is>
      </c>
      <c r="C123" s="146">
        <f>IF($B123="","",COUNTIFS('Journal'!$AD$6:$AD$505,"&gt;="&amp;DATE('Paramètres'!$C$12,10,1),'Journal'!$AD$6:$AD$505,"&lt;"&amp;DATE('Paramètres'!$C$12,11,1),'Journal'!$X$6:$X$505,"&gt;-999999999"))</f>
        <v/>
      </c>
      <c r="D123" s="147">
        <f>IF($B123="","",IF(C123=0,0,COUNTIFS('Journal'!$AD$6:$AD$505,"&gt;="&amp;DATE('Paramètres'!$C$12,10,1),'Journal'!$AD$6:$AD$505,"&lt;"&amp;DATE('Paramètres'!$C$12,11,1),'Journal'!$X$6:$X$505,"&gt;0")/C123))</f>
        <v/>
      </c>
      <c r="E123" s="148">
        <f>IF($B123="","",SUMIFS('Journal'!$X$6:$X$505,'Journal'!$AD$6:$AD$505,"&gt;="&amp;DATE('Paramètres'!$C$12,10,1),'Journal'!$AD$6:$AD$505,"&lt;"&amp;DATE('Paramètres'!$C$12,11,1)))</f>
        <v/>
      </c>
      <c r="F123" s="149">
        <f>IF($B123="","",IFERROR(AVERAGEIFS('Journal'!$AA$6:$AA$505,'Journal'!$AD$6:$AD$505,"&gt;="&amp;DATE('Paramètres'!$C$12,10,1),'Journal'!$AD$6:$AD$505,"&lt;"&amp;DATE('Paramètres'!$C$12,11,1)),0))</f>
        <v/>
      </c>
      <c r="G123" s="150">
        <f>IF($B123="","",IF(C123=0,0,IF(SUMIFS('Journal'!$X$6:$X$505,'Journal'!$AD$6:$AD$505,"&gt;="&amp;DATE('Paramètres'!$C$12,10,1),'Journal'!$AD$6:$AD$505,"&lt;"&amp;DATE('Paramètres'!$C$12,11,1),'Journal'!$X$6:$X$505,"&lt;0")=0,IF(SUMIFS('Journal'!$X$6:$X$505,'Journal'!$AD$6:$AD$505,"&gt;="&amp;DATE('Paramètres'!$C$12,10,1),'Journal'!$AD$6:$AD$505,"&lt;"&amp;DATE('Paramètres'!$C$12,11,1),'Journal'!$X$6:$X$505,"&gt;0")&gt;0,"∞",0),SUMIFS('Journal'!$X$6:$X$505,'Journal'!$AD$6:$AD$505,"&gt;="&amp;DATE('Paramètres'!$C$12,10,1),'Journal'!$AD$6:$AD$505,"&lt;"&amp;DATE('Paramètres'!$C$12,11,1),'Journal'!$X$6:$X$505,"&gt;0")/ABS(SUMIFS('Journal'!$X$6:$X$505,'Journal'!$AD$6:$AD$505,"&gt;="&amp;DATE('Paramètres'!$C$12,10,1),'Journal'!$AD$6:$AD$505,"&lt;"&amp;DATE('Paramètres'!$C$12,11,1),'Journal'!$X$6:$X$505,"&lt;0")))))</f>
        <v/>
      </c>
      <c r="H123" s="151">
        <f>IF($B123="","",IF(C123=0,0,E123/C123))</f>
        <v/>
      </c>
    </row>
    <row r="124" ht="20" customHeight="1">
      <c r="B124" s="139" t="inlineStr">
        <is>
          <t>Novembre</t>
        </is>
      </c>
      <c r="C124" s="109">
        <f>IF($B124="","",COUNTIFS('Journal'!$AD$6:$AD$505,"&gt;="&amp;DATE('Paramètres'!$C$12,11,1),'Journal'!$AD$6:$AD$505,"&lt;"&amp;DATE('Paramètres'!$C$12,12,1),'Journal'!$X$6:$X$505,"&gt;-999999999"))</f>
        <v/>
      </c>
      <c r="D124" s="140">
        <f>IF($B124="","",IF(C124=0,0,COUNTIFS('Journal'!$AD$6:$AD$505,"&gt;="&amp;DATE('Paramètres'!$C$12,11,1),'Journal'!$AD$6:$AD$505,"&lt;"&amp;DATE('Paramètres'!$C$12,12,1),'Journal'!$X$6:$X$505,"&gt;0")/C124))</f>
        <v/>
      </c>
      <c r="E124" s="141">
        <f>IF($B124="","",SUMIFS('Journal'!$X$6:$X$505,'Journal'!$AD$6:$AD$505,"&gt;="&amp;DATE('Paramètres'!$C$12,11,1),'Journal'!$AD$6:$AD$505,"&lt;"&amp;DATE('Paramètres'!$C$12,12,1)))</f>
        <v/>
      </c>
      <c r="F124" s="142">
        <f>IF($B124="","",IFERROR(AVERAGEIFS('Journal'!$AA$6:$AA$505,'Journal'!$AD$6:$AD$505,"&gt;="&amp;DATE('Paramètres'!$C$12,11,1),'Journal'!$AD$6:$AD$505,"&lt;"&amp;DATE('Paramètres'!$C$12,12,1)),0))</f>
        <v/>
      </c>
      <c r="G124" s="143">
        <f>IF($B124="","",IF(C124=0,0,IF(SUMIFS('Journal'!$X$6:$X$505,'Journal'!$AD$6:$AD$505,"&gt;="&amp;DATE('Paramètres'!$C$12,11,1),'Journal'!$AD$6:$AD$505,"&lt;"&amp;DATE('Paramètres'!$C$12,12,1),'Journal'!$X$6:$X$505,"&lt;0")=0,IF(SUMIFS('Journal'!$X$6:$X$505,'Journal'!$AD$6:$AD$505,"&gt;="&amp;DATE('Paramètres'!$C$12,11,1),'Journal'!$AD$6:$AD$505,"&lt;"&amp;DATE('Paramètres'!$C$12,12,1),'Journal'!$X$6:$X$505,"&gt;0")&gt;0,"∞",0),SUMIFS('Journal'!$X$6:$X$505,'Journal'!$AD$6:$AD$505,"&gt;="&amp;DATE('Paramètres'!$C$12,11,1),'Journal'!$AD$6:$AD$505,"&lt;"&amp;DATE('Paramètres'!$C$12,12,1),'Journal'!$X$6:$X$505,"&gt;0")/ABS(SUMIFS('Journal'!$X$6:$X$505,'Journal'!$AD$6:$AD$505,"&gt;="&amp;DATE('Paramètres'!$C$12,11,1),'Journal'!$AD$6:$AD$505,"&lt;"&amp;DATE('Paramètres'!$C$12,12,1),'Journal'!$X$6:$X$505,"&lt;0")))))</f>
        <v/>
      </c>
      <c r="H124" s="144">
        <f>IF($B124="","",IF(C124=0,0,E124/C124))</f>
        <v/>
      </c>
    </row>
    <row r="125" ht="20" customHeight="1">
      <c r="B125" s="145" t="inlineStr">
        <is>
          <t>Décembre</t>
        </is>
      </c>
      <c r="C125" s="146">
        <f>IF($B125="","",COUNTIFS('Journal'!$AD$6:$AD$505,"&gt;="&amp;DATE('Paramètres'!$C$12,12,1),'Journal'!$AD$6:$AD$505,"&lt;"&amp;DATE('Paramètres'!$C$12,13,1),'Journal'!$X$6:$X$505,"&gt;-999999999"))</f>
        <v/>
      </c>
      <c r="D125" s="147">
        <f>IF($B125="","",IF(C125=0,0,COUNTIFS('Journal'!$AD$6:$AD$505,"&gt;="&amp;DATE('Paramètres'!$C$12,12,1),'Journal'!$AD$6:$AD$505,"&lt;"&amp;DATE('Paramètres'!$C$12,13,1),'Journal'!$X$6:$X$505,"&gt;0")/C125))</f>
        <v/>
      </c>
      <c r="E125" s="148">
        <f>IF($B125="","",SUMIFS('Journal'!$X$6:$X$505,'Journal'!$AD$6:$AD$505,"&gt;="&amp;DATE('Paramètres'!$C$12,12,1),'Journal'!$AD$6:$AD$505,"&lt;"&amp;DATE('Paramètres'!$C$12,13,1)))</f>
        <v/>
      </c>
      <c r="F125" s="149">
        <f>IF($B125="","",IFERROR(AVERAGEIFS('Journal'!$AA$6:$AA$505,'Journal'!$AD$6:$AD$505,"&gt;="&amp;DATE('Paramètres'!$C$12,12,1),'Journal'!$AD$6:$AD$505,"&lt;"&amp;DATE('Paramètres'!$C$12,13,1)),0))</f>
        <v/>
      </c>
      <c r="G125" s="150">
        <f>IF($B125="","",IF(C125=0,0,IF(SUMIFS('Journal'!$X$6:$X$505,'Journal'!$AD$6:$AD$505,"&gt;="&amp;DATE('Paramètres'!$C$12,12,1),'Journal'!$AD$6:$AD$505,"&lt;"&amp;DATE('Paramètres'!$C$12,13,1),'Journal'!$X$6:$X$505,"&lt;0")=0,IF(SUMIFS('Journal'!$X$6:$X$505,'Journal'!$AD$6:$AD$505,"&gt;="&amp;DATE('Paramètres'!$C$12,12,1),'Journal'!$AD$6:$AD$505,"&lt;"&amp;DATE('Paramètres'!$C$12,13,1),'Journal'!$X$6:$X$505,"&gt;0")&gt;0,"∞",0),SUMIFS('Journal'!$X$6:$X$505,'Journal'!$AD$6:$AD$505,"&gt;="&amp;DATE('Paramètres'!$C$12,12,1),'Journal'!$AD$6:$AD$505,"&lt;"&amp;DATE('Paramètres'!$C$12,13,1),'Journal'!$X$6:$X$505,"&gt;0")/ABS(SUMIFS('Journal'!$X$6:$X$505,'Journal'!$AD$6:$AD$505,"&gt;="&amp;DATE('Paramètres'!$C$12,12,1),'Journal'!$AD$6:$AD$505,"&lt;"&amp;DATE('Paramètres'!$C$12,13,1),'Journal'!$X$6:$X$505,"&lt;0")))))</f>
        <v/>
      </c>
      <c r="H125" s="151">
        <f>IF($B125="","",IF(C125=0,0,E125/C125))</f>
        <v/>
      </c>
    </row>
    <row r="128" ht="24" customHeight="1">
      <c r="B128" s="19" t="inlineStr">
        <is>
          <t>PAR SCORE DE CHECKLIST (/8)</t>
        </is>
      </c>
      <c r="C128" s="20" t="n"/>
      <c r="D128" s="20" t="n"/>
      <c r="E128" s="20" t="n"/>
      <c r="F128" s="20" t="n"/>
      <c r="G128" s="20" t="n"/>
      <c r="H128" s="20" t="n"/>
    </row>
    <row r="129" ht="26" customHeight="1">
      <c r="B129" s="117" t="inlineStr">
        <is>
          <t>Score</t>
        </is>
      </c>
      <c r="C129" s="83" t="inlineStr">
        <is>
          <t>Trades</t>
        </is>
      </c>
      <c r="D129" s="83" t="inlineStr">
        <is>
          <t>Réussite</t>
        </is>
      </c>
      <c r="E129" s="83" t="inlineStr">
        <is>
          <t>P&amp;L net</t>
        </is>
      </c>
      <c r="F129" s="83" t="inlineStr">
        <is>
          <t>R moyen</t>
        </is>
      </c>
      <c r="G129" s="83" t="inlineStr">
        <is>
          <t>Profit F.</t>
        </is>
      </c>
      <c r="H129" s="83" t="inlineStr">
        <is>
          <t>Espérance</t>
        </is>
      </c>
    </row>
    <row r="130" ht="20" customHeight="1">
      <c r="B130" s="139" t="n">
        <v>0</v>
      </c>
      <c r="C130" s="109">
        <f>IF($B130="","",COUNTIFS('Journal'!$N$6:$N$505,$B130,'Journal'!$X$6:$X$505,"&gt;-999999999"))</f>
        <v/>
      </c>
      <c r="D130" s="140">
        <f>IF($B130="","",IF(C130=0,0,COUNTIFS('Journal'!$N$6:$N$505,$B130,'Journal'!$X$6:$X$505,"&gt;0")/C130))</f>
        <v/>
      </c>
      <c r="E130" s="141">
        <f>IF($B130="","",SUMIFS('Journal'!$X$6:$X$505,'Journal'!$N$6:$N$505,$B130))</f>
        <v/>
      </c>
      <c r="F130" s="142">
        <f>IF($B130="","",IFERROR(AVERAGEIFS('Journal'!$AA$6:$AA$505,'Journal'!$N$6:$N$505,$B130),0))</f>
        <v/>
      </c>
      <c r="G130" s="143">
        <f>IF($B130="","",IF(C130=0,0,IF(SUMIFS('Journal'!$X$6:$X$505,'Journal'!$N$6:$N$505,$B130,'Journal'!$X$6:$X$505,"&lt;0")=0,IF(SUMIFS('Journal'!$X$6:$X$505,'Journal'!$N$6:$N$505,$B130,'Journal'!$X$6:$X$505,"&gt;0")&gt;0,"∞",0),SUMIFS('Journal'!$X$6:$X$505,'Journal'!$N$6:$N$505,$B130,'Journal'!$X$6:$X$505,"&gt;0")/ABS(SUMIFS('Journal'!$X$6:$X$505,'Journal'!$N$6:$N$505,$B130,'Journal'!$X$6:$X$505,"&lt;0")))))</f>
        <v/>
      </c>
      <c r="H130" s="144">
        <f>IF($B130="","",IF(C130=0,0,E130/C130))</f>
        <v/>
      </c>
    </row>
    <row r="131" ht="20" customHeight="1">
      <c r="B131" s="145" t="n">
        <v>1</v>
      </c>
      <c r="C131" s="146">
        <f>IF($B131="","",COUNTIFS('Journal'!$N$6:$N$505,$B131,'Journal'!$X$6:$X$505,"&gt;-999999999"))</f>
        <v/>
      </c>
      <c r="D131" s="147">
        <f>IF($B131="","",IF(C131=0,0,COUNTIFS('Journal'!$N$6:$N$505,$B131,'Journal'!$X$6:$X$505,"&gt;0")/C131))</f>
        <v/>
      </c>
      <c r="E131" s="148">
        <f>IF($B131="","",SUMIFS('Journal'!$X$6:$X$505,'Journal'!$N$6:$N$505,$B131))</f>
        <v/>
      </c>
      <c r="F131" s="149">
        <f>IF($B131="","",IFERROR(AVERAGEIFS('Journal'!$AA$6:$AA$505,'Journal'!$N$6:$N$505,$B131),0))</f>
        <v/>
      </c>
      <c r="G131" s="150">
        <f>IF($B131="","",IF(C131=0,0,IF(SUMIFS('Journal'!$X$6:$X$505,'Journal'!$N$6:$N$505,$B131,'Journal'!$X$6:$X$505,"&lt;0")=0,IF(SUMIFS('Journal'!$X$6:$X$505,'Journal'!$N$6:$N$505,$B131,'Journal'!$X$6:$X$505,"&gt;0")&gt;0,"∞",0),SUMIFS('Journal'!$X$6:$X$505,'Journal'!$N$6:$N$505,$B131,'Journal'!$X$6:$X$505,"&gt;0")/ABS(SUMIFS('Journal'!$X$6:$X$505,'Journal'!$N$6:$N$505,$B131,'Journal'!$X$6:$X$505,"&lt;0")))))</f>
        <v/>
      </c>
      <c r="H131" s="151">
        <f>IF($B131="","",IF(C131=0,0,E131/C131))</f>
        <v/>
      </c>
    </row>
    <row r="132" ht="20" customHeight="1">
      <c r="B132" s="139" t="n">
        <v>2</v>
      </c>
      <c r="C132" s="109">
        <f>IF($B132="","",COUNTIFS('Journal'!$N$6:$N$505,$B132,'Journal'!$X$6:$X$505,"&gt;-999999999"))</f>
        <v/>
      </c>
      <c r="D132" s="140">
        <f>IF($B132="","",IF(C132=0,0,COUNTIFS('Journal'!$N$6:$N$505,$B132,'Journal'!$X$6:$X$505,"&gt;0")/C132))</f>
        <v/>
      </c>
      <c r="E132" s="141">
        <f>IF($B132="","",SUMIFS('Journal'!$X$6:$X$505,'Journal'!$N$6:$N$505,$B132))</f>
        <v/>
      </c>
      <c r="F132" s="142">
        <f>IF($B132="","",IFERROR(AVERAGEIFS('Journal'!$AA$6:$AA$505,'Journal'!$N$6:$N$505,$B132),0))</f>
        <v/>
      </c>
      <c r="G132" s="143">
        <f>IF($B132="","",IF(C132=0,0,IF(SUMIFS('Journal'!$X$6:$X$505,'Journal'!$N$6:$N$505,$B132,'Journal'!$X$6:$X$505,"&lt;0")=0,IF(SUMIFS('Journal'!$X$6:$X$505,'Journal'!$N$6:$N$505,$B132,'Journal'!$X$6:$X$505,"&gt;0")&gt;0,"∞",0),SUMIFS('Journal'!$X$6:$X$505,'Journal'!$N$6:$N$505,$B132,'Journal'!$X$6:$X$505,"&gt;0")/ABS(SUMIFS('Journal'!$X$6:$X$505,'Journal'!$N$6:$N$505,$B132,'Journal'!$X$6:$X$505,"&lt;0")))))</f>
        <v/>
      </c>
      <c r="H132" s="144">
        <f>IF($B132="","",IF(C132=0,0,E132/C132))</f>
        <v/>
      </c>
    </row>
    <row r="133" ht="20" customHeight="1">
      <c r="B133" s="145" t="n">
        <v>3</v>
      </c>
      <c r="C133" s="146">
        <f>IF($B133="","",COUNTIFS('Journal'!$N$6:$N$505,$B133,'Journal'!$X$6:$X$505,"&gt;-999999999"))</f>
        <v/>
      </c>
      <c r="D133" s="147">
        <f>IF($B133="","",IF(C133=0,0,COUNTIFS('Journal'!$N$6:$N$505,$B133,'Journal'!$X$6:$X$505,"&gt;0")/C133))</f>
        <v/>
      </c>
      <c r="E133" s="148">
        <f>IF($B133="","",SUMIFS('Journal'!$X$6:$X$505,'Journal'!$N$6:$N$505,$B133))</f>
        <v/>
      </c>
      <c r="F133" s="149">
        <f>IF($B133="","",IFERROR(AVERAGEIFS('Journal'!$AA$6:$AA$505,'Journal'!$N$6:$N$505,$B133),0))</f>
        <v/>
      </c>
      <c r="G133" s="150">
        <f>IF($B133="","",IF(C133=0,0,IF(SUMIFS('Journal'!$X$6:$X$505,'Journal'!$N$6:$N$505,$B133,'Journal'!$X$6:$X$505,"&lt;0")=0,IF(SUMIFS('Journal'!$X$6:$X$505,'Journal'!$N$6:$N$505,$B133,'Journal'!$X$6:$X$505,"&gt;0")&gt;0,"∞",0),SUMIFS('Journal'!$X$6:$X$505,'Journal'!$N$6:$N$505,$B133,'Journal'!$X$6:$X$505,"&gt;0")/ABS(SUMIFS('Journal'!$X$6:$X$505,'Journal'!$N$6:$N$505,$B133,'Journal'!$X$6:$X$505,"&lt;0")))))</f>
        <v/>
      </c>
      <c r="H133" s="151">
        <f>IF($B133="","",IF(C133=0,0,E133/C133))</f>
        <v/>
      </c>
    </row>
    <row r="134" ht="20" customHeight="1">
      <c r="B134" s="139" t="n">
        <v>4</v>
      </c>
      <c r="C134" s="109">
        <f>IF($B134="","",COUNTIFS('Journal'!$N$6:$N$505,$B134,'Journal'!$X$6:$X$505,"&gt;-999999999"))</f>
        <v/>
      </c>
      <c r="D134" s="140">
        <f>IF($B134="","",IF(C134=0,0,COUNTIFS('Journal'!$N$6:$N$505,$B134,'Journal'!$X$6:$X$505,"&gt;0")/C134))</f>
        <v/>
      </c>
      <c r="E134" s="141">
        <f>IF($B134="","",SUMIFS('Journal'!$X$6:$X$505,'Journal'!$N$6:$N$505,$B134))</f>
        <v/>
      </c>
      <c r="F134" s="142">
        <f>IF($B134="","",IFERROR(AVERAGEIFS('Journal'!$AA$6:$AA$505,'Journal'!$N$6:$N$505,$B134),0))</f>
        <v/>
      </c>
      <c r="G134" s="143">
        <f>IF($B134="","",IF(C134=0,0,IF(SUMIFS('Journal'!$X$6:$X$505,'Journal'!$N$6:$N$505,$B134,'Journal'!$X$6:$X$505,"&lt;0")=0,IF(SUMIFS('Journal'!$X$6:$X$505,'Journal'!$N$6:$N$505,$B134,'Journal'!$X$6:$X$505,"&gt;0")&gt;0,"∞",0),SUMIFS('Journal'!$X$6:$X$505,'Journal'!$N$6:$N$505,$B134,'Journal'!$X$6:$X$505,"&gt;0")/ABS(SUMIFS('Journal'!$X$6:$X$505,'Journal'!$N$6:$N$505,$B134,'Journal'!$X$6:$X$505,"&lt;0")))))</f>
        <v/>
      </c>
      <c r="H134" s="144">
        <f>IF($B134="","",IF(C134=0,0,E134/C134))</f>
        <v/>
      </c>
    </row>
    <row r="135" ht="20" customHeight="1">
      <c r="B135" s="145" t="n">
        <v>5</v>
      </c>
      <c r="C135" s="146">
        <f>IF($B135="","",COUNTIFS('Journal'!$N$6:$N$505,$B135,'Journal'!$X$6:$X$505,"&gt;-999999999"))</f>
        <v/>
      </c>
      <c r="D135" s="147">
        <f>IF($B135="","",IF(C135=0,0,COUNTIFS('Journal'!$N$6:$N$505,$B135,'Journal'!$X$6:$X$505,"&gt;0")/C135))</f>
        <v/>
      </c>
      <c r="E135" s="148">
        <f>IF($B135="","",SUMIFS('Journal'!$X$6:$X$505,'Journal'!$N$6:$N$505,$B135))</f>
        <v/>
      </c>
      <c r="F135" s="149">
        <f>IF($B135="","",IFERROR(AVERAGEIFS('Journal'!$AA$6:$AA$505,'Journal'!$N$6:$N$505,$B135),0))</f>
        <v/>
      </c>
      <c r="G135" s="150">
        <f>IF($B135="","",IF(C135=0,0,IF(SUMIFS('Journal'!$X$6:$X$505,'Journal'!$N$6:$N$505,$B135,'Journal'!$X$6:$X$505,"&lt;0")=0,IF(SUMIFS('Journal'!$X$6:$X$505,'Journal'!$N$6:$N$505,$B135,'Journal'!$X$6:$X$505,"&gt;0")&gt;0,"∞",0),SUMIFS('Journal'!$X$6:$X$505,'Journal'!$N$6:$N$505,$B135,'Journal'!$X$6:$X$505,"&gt;0")/ABS(SUMIFS('Journal'!$X$6:$X$505,'Journal'!$N$6:$N$505,$B135,'Journal'!$X$6:$X$505,"&lt;0")))))</f>
        <v/>
      </c>
      <c r="H135" s="151">
        <f>IF($B135="","",IF(C135=0,0,E135/C135))</f>
        <v/>
      </c>
    </row>
    <row r="136" ht="20" customHeight="1">
      <c r="B136" s="139" t="n">
        <v>6</v>
      </c>
      <c r="C136" s="109">
        <f>IF($B136="","",COUNTIFS('Journal'!$N$6:$N$505,$B136,'Journal'!$X$6:$X$505,"&gt;-999999999"))</f>
        <v/>
      </c>
      <c r="D136" s="140">
        <f>IF($B136="","",IF(C136=0,0,COUNTIFS('Journal'!$N$6:$N$505,$B136,'Journal'!$X$6:$X$505,"&gt;0")/C136))</f>
        <v/>
      </c>
      <c r="E136" s="141">
        <f>IF($B136="","",SUMIFS('Journal'!$X$6:$X$505,'Journal'!$N$6:$N$505,$B136))</f>
        <v/>
      </c>
      <c r="F136" s="142">
        <f>IF($B136="","",IFERROR(AVERAGEIFS('Journal'!$AA$6:$AA$505,'Journal'!$N$6:$N$505,$B136),0))</f>
        <v/>
      </c>
      <c r="G136" s="143">
        <f>IF($B136="","",IF(C136=0,0,IF(SUMIFS('Journal'!$X$6:$X$505,'Journal'!$N$6:$N$505,$B136,'Journal'!$X$6:$X$505,"&lt;0")=0,IF(SUMIFS('Journal'!$X$6:$X$505,'Journal'!$N$6:$N$505,$B136,'Journal'!$X$6:$X$505,"&gt;0")&gt;0,"∞",0),SUMIFS('Journal'!$X$6:$X$505,'Journal'!$N$6:$N$505,$B136,'Journal'!$X$6:$X$505,"&gt;0")/ABS(SUMIFS('Journal'!$X$6:$X$505,'Journal'!$N$6:$N$505,$B136,'Journal'!$X$6:$X$505,"&lt;0")))))</f>
        <v/>
      </c>
      <c r="H136" s="144">
        <f>IF($B136="","",IF(C136=0,0,E136/C136))</f>
        <v/>
      </c>
    </row>
    <row r="137" ht="20" customHeight="1">
      <c r="B137" s="145" t="n">
        <v>7</v>
      </c>
      <c r="C137" s="146">
        <f>IF($B137="","",COUNTIFS('Journal'!$N$6:$N$505,$B137,'Journal'!$X$6:$X$505,"&gt;-999999999"))</f>
        <v/>
      </c>
      <c r="D137" s="147">
        <f>IF($B137="","",IF(C137=0,0,COUNTIFS('Journal'!$N$6:$N$505,$B137,'Journal'!$X$6:$X$505,"&gt;0")/C137))</f>
        <v/>
      </c>
      <c r="E137" s="148">
        <f>IF($B137="","",SUMIFS('Journal'!$X$6:$X$505,'Journal'!$N$6:$N$505,$B137))</f>
        <v/>
      </c>
      <c r="F137" s="149">
        <f>IF($B137="","",IFERROR(AVERAGEIFS('Journal'!$AA$6:$AA$505,'Journal'!$N$6:$N$505,$B137),0))</f>
        <v/>
      </c>
      <c r="G137" s="150">
        <f>IF($B137="","",IF(C137=0,0,IF(SUMIFS('Journal'!$X$6:$X$505,'Journal'!$N$6:$N$505,$B137,'Journal'!$X$6:$X$505,"&lt;0")=0,IF(SUMIFS('Journal'!$X$6:$X$505,'Journal'!$N$6:$N$505,$B137,'Journal'!$X$6:$X$505,"&gt;0")&gt;0,"∞",0),SUMIFS('Journal'!$X$6:$X$505,'Journal'!$N$6:$N$505,$B137,'Journal'!$X$6:$X$505,"&gt;0")/ABS(SUMIFS('Journal'!$X$6:$X$505,'Journal'!$N$6:$N$505,$B137,'Journal'!$X$6:$X$505,"&lt;0")))))</f>
        <v/>
      </c>
      <c r="H137" s="151">
        <f>IF($B137="","",IF(C137=0,0,E137/C137))</f>
        <v/>
      </c>
    </row>
    <row r="138" ht="20" customHeight="1">
      <c r="B138" s="139" t="n">
        <v>8</v>
      </c>
      <c r="C138" s="109">
        <f>IF($B138="","",COUNTIFS('Journal'!$N$6:$N$505,$B138,'Journal'!$X$6:$X$505,"&gt;-999999999"))</f>
        <v/>
      </c>
      <c r="D138" s="140">
        <f>IF($B138="","",IF(C138=0,0,COUNTIFS('Journal'!$N$6:$N$505,$B138,'Journal'!$X$6:$X$505,"&gt;0")/C138))</f>
        <v/>
      </c>
      <c r="E138" s="141">
        <f>IF($B138="","",SUMIFS('Journal'!$X$6:$X$505,'Journal'!$N$6:$N$505,$B138))</f>
        <v/>
      </c>
      <c r="F138" s="142">
        <f>IF($B138="","",IFERROR(AVERAGEIFS('Journal'!$AA$6:$AA$505,'Journal'!$N$6:$N$505,$B138),0))</f>
        <v/>
      </c>
      <c r="G138" s="143">
        <f>IF($B138="","",IF(C138=0,0,IF(SUMIFS('Journal'!$X$6:$X$505,'Journal'!$N$6:$N$505,$B138,'Journal'!$X$6:$X$505,"&lt;0")=0,IF(SUMIFS('Journal'!$X$6:$X$505,'Journal'!$N$6:$N$505,$B138,'Journal'!$X$6:$X$505,"&gt;0")&gt;0,"∞",0),SUMIFS('Journal'!$X$6:$X$505,'Journal'!$N$6:$N$505,$B138,'Journal'!$X$6:$X$505,"&gt;0")/ABS(SUMIFS('Journal'!$X$6:$X$505,'Journal'!$N$6:$N$505,$B138,'Journal'!$X$6:$X$505,"&lt;0")))))</f>
        <v/>
      </c>
      <c r="H138" s="144">
        <f>IF($B138="","",IF(C138=0,0,E138/C138))</f>
        <v/>
      </c>
    </row>
    <row r="144" ht="24" customHeight="1">
      <c r="B144" s="23" t="inlineStr">
        <is>
          <t>PAR ÉTAT ÉMOTIONNEL</t>
        </is>
      </c>
      <c r="C144" s="24" t="n"/>
      <c r="D144" s="24" t="n"/>
      <c r="E144" s="24" t="n"/>
      <c r="F144" s="24" t="n"/>
      <c r="G144" s="24" t="n"/>
      <c r="H144" s="24" t="n"/>
    </row>
    <row r="145" ht="26" customHeight="1">
      <c r="B145" s="117" t="inlineStr">
        <is>
          <t>Émotion</t>
        </is>
      </c>
      <c r="C145" s="83" t="inlineStr">
        <is>
          <t>Trades</t>
        </is>
      </c>
      <c r="D145" s="83" t="inlineStr">
        <is>
          <t>Réussite</t>
        </is>
      </c>
      <c r="E145" s="83" t="inlineStr">
        <is>
          <t>P&amp;L net</t>
        </is>
      </c>
      <c r="F145" s="83" t="inlineStr">
        <is>
          <t>R moyen</t>
        </is>
      </c>
      <c r="G145" s="83" t="inlineStr">
        <is>
          <t>Profit F.</t>
        </is>
      </c>
      <c r="H145" s="83" t="inlineStr">
        <is>
          <t>Espérance</t>
        </is>
      </c>
    </row>
    <row r="146" ht="20" customHeight="1">
      <c r="B146" s="139">
        <f>IF('Listes'!D6="","",'Listes'!D6)</f>
        <v/>
      </c>
      <c r="C146" s="109">
        <f>IF($B146="","",COUNTIFS('Journal'!$O$6:$O$505,$B146,'Journal'!$X$6:$X$505,"&gt;-999999999"))</f>
        <v/>
      </c>
      <c r="D146" s="140">
        <f>IF($B146="","",IF(C146=0,0,COUNTIFS('Journal'!$O$6:$O$505,$B146,'Journal'!$X$6:$X$505,"&gt;0")/C146))</f>
        <v/>
      </c>
      <c r="E146" s="141">
        <f>IF($B146="","",SUMIFS('Journal'!$X$6:$X$505,'Journal'!$O$6:$O$505,$B146))</f>
        <v/>
      </c>
      <c r="F146" s="142">
        <f>IF($B146="","",IFERROR(AVERAGEIFS('Journal'!$AA$6:$AA$505,'Journal'!$O$6:$O$505,$B146),0))</f>
        <v/>
      </c>
      <c r="G146" s="143">
        <f>IF($B146="","",IF(C146=0,0,IF(SUMIFS('Journal'!$X$6:$X$505,'Journal'!$O$6:$O$505,$B146,'Journal'!$X$6:$X$505,"&lt;0")=0,IF(SUMIFS('Journal'!$X$6:$X$505,'Journal'!$O$6:$O$505,$B146,'Journal'!$X$6:$X$505,"&gt;0")&gt;0,"∞",0),SUMIFS('Journal'!$X$6:$X$505,'Journal'!$O$6:$O$505,$B146,'Journal'!$X$6:$X$505,"&gt;0")/ABS(SUMIFS('Journal'!$X$6:$X$505,'Journal'!$O$6:$O$505,$B146,'Journal'!$X$6:$X$505,"&lt;0")))))</f>
        <v/>
      </c>
      <c r="H146" s="144">
        <f>IF($B146="","",IF(C146=0,0,E146/C146))</f>
        <v/>
      </c>
    </row>
    <row r="147" ht="20" customHeight="1">
      <c r="B147" s="145">
        <f>IF('Listes'!D7="","",'Listes'!D7)</f>
        <v/>
      </c>
      <c r="C147" s="146">
        <f>IF($B147="","",COUNTIFS('Journal'!$O$6:$O$505,$B147,'Journal'!$X$6:$X$505,"&gt;-999999999"))</f>
        <v/>
      </c>
      <c r="D147" s="147">
        <f>IF($B147="","",IF(C147=0,0,COUNTIFS('Journal'!$O$6:$O$505,$B147,'Journal'!$X$6:$X$505,"&gt;0")/C147))</f>
        <v/>
      </c>
      <c r="E147" s="148">
        <f>IF($B147="","",SUMIFS('Journal'!$X$6:$X$505,'Journal'!$O$6:$O$505,$B147))</f>
        <v/>
      </c>
      <c r="F147" s="149">
        <f>IF($B147="","",IFERROR(AVERAGEIFS('Journal'!$AA$6:$AA$505,'Journal'!$O$6:$O$505,$B147),0))</f>
        <v/>
      </c>
      <c r="G147" s="150">
        <f>IF($B147="","",IF(C147=0,0,IF(SUMIFS('Journal'!$X$6:$X$505,'Journal'!$O$6:$O$505,$B147,'Journal'!$X$6:$X$505,"&lt;0")=0,IF(SUMIFS('Journal'!$X$6:$X$505,'Journal'!$O$6:$O$505,$B147,'Journal'!$X$6:$X$505,"&gt;0")&gt;0,"∞",0),SUMIFS('Journal'!$X$6:$X$505,'Journal'!$O$6:$O$505,$B147,'Journal'!$X$6:$X$505,"&gt;0")/ABS(SUMIFS('Journal'!$X$6:$X$505,'Journal'!$O$6:$O$505,$B147,'Journal'!$X$6:$X$505,"&lt;0")))))</f>
        <v/>
      </c>
      <c r="H147" s="151">
        <f>IF($B147="","",IF(C147=0,0,E147/C147))</f>
        <v/>
      </c>
    </row>
    <row r="148" ht="20" customHeight="1">
      <c r="B148" s="139">
        <f>IF('Listes'!D8="","",'Listes'!D8)</f>
        <v/>
      </c>
      <c r="C148" s="109">
        <f>IF($B148="","",COUNTIFS('Journal'!$O$6:$O$505,$B148,'Journal'!$X$6:$X$505,"&gt;-999999999"))</f>
        <v/>
      </c>
      <c r="D148" s="140">
        <f>IF($B148="","",IF(C148=0,0,COUNTIFS('Journal'!$O$6:$O$505,$B148,'Journal'!$X$6:$X$505,"&gt;0")/C148))</f>
        <v/>
      </c>
      <c r="E148" s="141">
        <f>IF($B148="","",SUMIFS('Journal'!$X$6:$X$505,'Journal'!$O$6:$O$505,$B148))</f>
        <v/>
      </c>
      <c r="F148" s="142">
        <f>IF($B148="","",IFERROR(AVERAGEIFS('Journal'!$AA$6:$AA$505,'Journal'!$O$6:$O$505,$B148),0))</f>
        <v/>
      </c>
      <c r="G148" s="143">
        <f>IF($B148="","",IF(C148=0,0,IF(SUMIFS('Journal'!$X$6:$X$505,'Journal'!$O$6:$O$505,$B148,'Journal'!$X$6:$X$505,"&lt;0")=0,IF(SUMIFS('Journal'!$X$6:$X$505,'Journal'!$O$6:$O$505,$B148,'Journal'!$X$6:$X$505,"&gt;0")&gt;0,"∞",0),SUMIFS('Journal'!$X$6:$X$505,'Journal'!$O$6:$O$505,$B148,'Journal'!$X$6:$X$505,"&gt;0")/ABS(SUMIFS('Journal'!$X$6:$X$505,'Journal'!$O$6:$O$505,$B148,'Journal'!$X$6:$X$505,"&lt;0")))))</f>
        <v/>
      </c>
      <c r="H148" s="144">
        <f>IF($B148="","",IF(C148=0,0,E148/C148))</f>
        <v/>
      </c>
    </row>
    <row r="149" ht="20" customHeight="1">
      <c r="B149" s="145">
        <f>IF('Listes'!D9="","",'Listes'!D9)</f>
        <v/>
      </c>
      <c r="C149" s="146">
        <f>IF($B149="","",COUNTIFS('Journal'!$O$6:$O$505,$B149,'Journal'!$X$6:$X$505,"&gt;-999999999"))</f>
        <v/>
      </c>
      <c r="D149" s="147">
        <f>IF($B149="","",IF(C149=0,0,COUNTIFS('Journal'!$O$6:$O$505,$B149,'Journal'!$X$6:$X$505,"&gt;0")/C149))</f>
        <v/>
      </c>
      <c r="E149" s="148">
        <f>IF($B149="","",SUMIFS('Journal'!$X$6:$X$505,'Journal'!$O$6:$O$505,$B149))</f>
        <v/>
      </c>
      <c r="F149" s="149">
        <f>IF($B149="","",IFERROR(AVERAGEIFS('Journal'!$AA$6:$AA$505,'Journal'!$O$6:$O$505,$B149),0))</f>
        <v/>
      </c>
      <c r="G149" s="150">
        <f>IF($B149="","",IF(C149=0,0,IF(SUMIFS('Journal'!$X$6:$X$505,'Journal'!$O$6:$O$505,$B149,'Journal'!$X$6:$X$505,"&lt;0")=0,IF(SUMIFS('Journal'!$X$6:$X$505,'Journal'!$O$6:$O$505,$B149,'Journal'!$X$6:$X$505,"&gt;0")&gt;0,"∞",0),SUMIFS('Journal'!$X$6:$X$505,'Journal'!$O$6:$O$505,$B149,'Journal'!$X$6:$X$505,"&gt;0")/ABS(SUMIFS('Journal'!$X$6:$X$505,'Journal'!$O$6:$O$505,$B149,'Journal'!$X$6:$X$505,"&lt;0")))))</f>
        <v/>
      </c>
      <c r="H149" s="151">
        <f>IF($B149="","",IF(C149=0,0,E149/C149))</f>
        <v/>
      </c>
    </row>
    <row r="150" ht="20" customHeight="1">
      <c r="B150" s="139">
        <f>IF('Listes'!D10="","",'Listes'!D10)</f>
        <v/>
      </c>
      <c r="C150" s="109">
        <f>IF($B150="","",COUNTIFS('Journal'!$O$6:$O$505,$B150,'Journal'!$X$6:$X$505,"&gt;-999999999"))</f>
        <v/>
      </c>
      <c r="D150" s="140">
        <f>IF($B150="","",IF(C150=0,0,COUNTIFS('Journal'!$O$6:$O$505,$B150,'Journal'!$X$6:$X$505,"&gt;0")/C150))</f>
        <v/>
      </c>
      <c r="E150" s="141">
        <f>IF($B150="","",SUMIFS('Journal'!$X$6:$X$505,'Journal'!$O$6:$O$505,$B150))</f>
        <v/>
      </c>
      <c r="F150" s="142">
        <f>IF($B150="","",IFERROR(AVERAGEIFS('Journal'!$AA$6:$AA$505,'Journal'!$O$6:$O$505,$B150),0))</f>
        <v/>
      </c>
      <c r="G150" s="143">
        <f>IF($B150="","",IF(C150=0,0,IF(SUMIFS('Journal'!$X$6:$X$505,'Journal'!$O$6:$O$505,$B150,'Journal'!$X$6:$X$505,"&lt;0")=0,IF(SUMIFS('Journal'!$X$6:$X$505,'Journal'!$O$6:$O$505,$B150,'Journal'!$X$6:$X$505,"&gt;0")&gt;0,"∞",0),SUMIFS('Journal'!$X$6:$X$505,'Journal'!$O$6:$O$505,$B150,'Journal'!$X$6:$X$505,"&gt;0")/ABS(SUMIFS('Journal'!$X$6:$X$505,'Journal'!$O$6:$O$505,$B150,'Journal'!$X$6:$X$505,"&lt;0")))))</f>
        <v/>
      </c>
      <c r="H150" s="144">
        <f>IF($B150="","",IF(C150=0,0,E150/C150))</f>
        <v/>
      </c>
    </row>
    <row r="151" ht="20" customHeight="1">
      <c r="B151" s="145">
        <f>IF('Listes'!D11="","",'Listes'!D11)</f>
        <v/>
      </c>
      <c r="C151" s="146">
        <f>IF($B151="","",COUNTIFS('Journal'!$O$6:$O$505,$B151,'Journal'!$X$6:$X$505,"&gt;-999999999"))</f>
        <v/>
      </c>
      <c r="D151" s="147">
        <f>IF($B151="","",IF(C151=0,0,COUNTIFS('Journal'!$O$6:$O$505,$B151,'Journal'!$X$6:$X$505,"&gt;0")/C151))</f>
        <v/>
      </c>
      <c r="E151" s="148">
        <f>IF($B151="","",SUMIFS('Journal'!$X$6:$X$505,'Journal'!$O$6:$O$505,$B151))</f>
        <v/>
      </c>
      <c r="F151" s="149">
        <f>IF($B151="","",IFERROR(AVERAGEIFS('Journal'!$AA$6:$AA$505,'Journal'!$O$6:$O$505,$B151),0))</f>
        <v/>
      </c>
      <c r="G151" s="150">
        <f>IF($B151="","",IF(C151=0,0,IF(SUMIFS('Journal'!$X$6:$X$505,'Journal'!$O$6:$O$505,$B151,'Journal'!$X$6:$X$505,"&lt;0")=0,IF(SUMIFS('Journal'!$X$6:$X$505,'Journal'!$O$6:$O$505,$B151,'Journal'!$X$6:$X$505,"&gt;0")&gt;0,"∞",0),SUMIFS('Journal'!$X$6:$X$505,'Journal'!$O$6:$O$505,$B151,'Journal'!$X$6:$X$505,"&gt;0")/ABS(SUMIFS('Journal'!$X$6:$X$505,'Journal'!$O$6:$O$505,$B151,'Journal'!$X$6:$X$505,"&lt;0")))))</f>
        <v/>
      </c>
      <c r="H151" s="151">
        <f>IF($B151="","",IF(C151=0,0,E151/C151))</f>
        <v/>
      </c>
    </row>
    <row r="152" ht="20" customHeight="1">
      <c r="B152" s="139">
        <f>IF('Listes'!D12="","",'Listes'!D12)</f>
        <v/>
      </c>
      <c r="C152" s="109">
        <f>IF($B152="","",COUNTIFS('Journal'!$O$6:$O$505,$B152,'Journal'!$X$6:$X$505,"&gt;-999999999"))</f>
        <v/>
      </c>
      <c r="D152" s="140">
        <f>IF($B152="","",IF(C152=0,0,COUNTIFS('Journal'!$O$6:$O$505,$B152,'Journal'!$X$6:$X$505,"&gt;0")/C152))</f>
        <v/>
      </c>
      <c r="E152" s="141">
        <f>IF($B152="","",SUMIFS('Journal'!$X$6:$X$505,'Journal'!$O$6:$O$505,$B152))</f>
        <v/>
      </c>
      <c r="F152" s="142">
        <f>IF($B152="","",IFERROR(AVERAGEIFS('Journal'!$AA$6:$AA$505,'Journal'!$O$6:$O$505,$B152),0))</f>
        <v/>
      </c>
      <c r="G152" s="143">
        <f>IF($B152="","",IF(C152=0,0,IF(SUMIFS('Journal'!$X$6:$X$505,'Journal'!$O$6:$O$505,$B152,'Journal'!$X$6:$X$505,"&lt;0")=0,IF(SUMIFS('Journal'!$X$6:$X$505,'Journal'!$O$6:$O$505,$B152,'Journal'!$X$6:$X$505,"&gt;0")&gt;0,"∞",0),SUMIFS('Journal'!$X$6:$X$505,'Journal'!$O$6:$O$505,$B152,'Journal'!$X$6:$X$505,"&gt;0")/ABS(SUMIFS('Journal'!$X$6:$X$505,'Journal'!$O$6:$O$505,$B152,'Journal'!$X$6:$X$505,"&lt;0")))))</f>
        <v/>
      </c>
      <c r="H152" s="144">
        <f>IF($B152="","",IF(C152=0,0,E152/C152))</f>
        <v/>
      </c>
    </row>
    <row r="153" ht="20" customHeight="1">
      <c r="B153" s="145">
        <f>IF('Listes'!D13="","",'Listes'!D13)</f>
        <v/>
      </c>
      <c r="C153" s="146">
        <f>IF($B153="","",COUNTIFS('Journal'!$O$6:$O$505,$B153,'Journal'!$X$6:$X$505,"&gt;-999999999"))</f>
        <v/>
      </c>
      <c r="D153" s="147">
        <f>IF($B153="","",IF(C153=0,0,COUNTIFS('Journal'!$O$6:$O$505,$B153,'Journal'!$X$6:$X$505,"&gt;0")/C153))</f>
        <v/>
      </c>
      <c r="E153" s="148">
        <f>IF($B153="","",SUMIFS('Journal'!$X$6:$X$505,'Journal'!$O$6:$O$505,$B153))</f>
        <v/>
      </c>
      <c r="F153" s="149">
        <f>IF($B153="","",IFERROR(AVERAGEIFS('Journal'!$AA$6:$AA$505,'Journal'!$O$6:$O$505,$B153),0))</f>
        <v/>
      </c>
      <c r="G153" s="150">
        <f>IF($B153="","",IF(C153=0,0,IF(SUMIFS('Journal'!$X$6:$X$505,'Journal'!$O$6:$O$505,$B153,'Journal'!$X$6:$X$505,"&lt;0")=0,IF(SUMIFS('Journal'!$X$6:$X$505,'Journal'!$O$6:$O$505,$B153,'Journal'!$X$6:$X$505,"&gt;0")&gt;0,"∞",0),SUMIFS('Journal'!$X$6:$X$505,'Journal'!$O$6:$O$505,$B153,'Journal'!$X$6:$X$505,"&gt;0")/ABS(SUMIFS('Journal'!$X$6:$X$505,'Journal'!$O$6:$O$505,$B153,'Journal'!$X$6:$X$505,"&lt;0")))))</f>
        <v/>
      </c>
      <c r="H153" s="151">
        <f>IF($B153="","",IF(C153=0,0,E153/C153))</f>
        <v/>
      </c>
    </row>
    <row r="160" ht="24" customHeight="1">
      <c r="B160" s="152" t="inlineStr">
        <is>
          <t>PAR ERREUR PRINCIPALE</t>
        </is>
      </c>
      <c r="C160" s="153" t="n"/>
      <c r="D160" s="153" t="n"/>
      <c r="E160" s="153" t="n"/>
      <c r="F160" s="153" t="n"/>
      <c r="G160" s="153" t="n"/>
      <c r="H160" s="153" t="n"/>
    </row>
    <row r="161" ht="26" customHeight="1">
      <c r="B161" s="117" t="inlineStr">
        <is>
          <t>Erreur</t>
        </is>
      </c>
      <c r="C161" s="83" t="inlineStr">
        <is>
          <t>Trades</t>
        </is>
      </c>
      <c r="D161" s="83" t="inlineStr">
        <is>
          <t>Réussite</t>
        </is>
      </c>
      <c r="E161" s="83" t="inlineStr">
        <is>
          <t>P&amp;L net</t>
        </is>
      </c>
      <c r="F161" s="83" t="inlineStr">
        <is>
          <t>R moyen</t>
        </is>
      </c>
      <c r="G161" s="83" t="inlineStr">
        <is>
          <t>Profit F.</t>
        </is>
      </c>
      <c r="H161" s="83" t="inlineStr">
        <is>
          <t>Espérance</t>
        </is>
      </c>
    </row>
    <row r="162" ht="20" customHeight="1">
      <c r="B162" s="139">
        <f>IF('Listes'!E6="","",'Listes'!E6)</f>
        <v/>
      </c>
      <c r="C162" s="109">
        <f>IF($B162="","",COUNTIFS('Journal'!$Q$6:$Q$505,$B162,'Journal'!$X$6:$X$505,"&gt;-999999999"))</f>
        <v/>
      </c>
      <c r="D162" s="140">
        <f>IF($B162="","",IF(C162=0,0,COUNTIFS('Journal'!$Q$6:$Q$505,$B162,'Journal'!$X$6:$X$505,"&gt;0")/C162))</f>
        <v/>
      </c>
      <c r="E162" s="141">
        <f>IF($B162="","",SUMIFS('Journal'!$X$6:$X$505,'Journal'!$Q$6:$Q$505,$B162))</f>
        <v/>
      </c>
      <c r="F162" s="142">
        <f>IF($B162="","",IFERROR(AVERAGEIFS('Journal'!$AA$6:$AA$505,'Journal'!$Q$6:$Q$505,$B162),0))</f>
        <v/>
      </c>
      <c r="G162" s="143">
        <f>IF($B162="","",IF(C162=0,0,IF(SUMIFS('Journal'!$X$6:$X$505,'Journal'!$Q$6:$Q$505,$B162,'Journal'!$X$6:$X$505,"&lt;0")=0,IF(SUMIFS('Journal'!$X$6:$X$505,'Journal'!$Q$6:$Q$505,$B162,'Journal'!$X$6:$X$505,"&gt;0")&gt;0,"∞",0),SUMIFS('Journal'!$X$6:$X$505,'Journal'!$Q$6:$Q$505,$B162,'Journal'!$X$6:$X$505,"&gt;0")/ABS(SUMIFS('Journal'!$X$6:$X$505,'Journal'!$Q$6:$Q$505,$B162,'Journal'!$X$6:$X$505,"&lt;0")))))</f>
        <v/>
      </c>
      <c r="H162" s="144">
        <f>IF($B162="","",IF(C162=0,0,E162/C162))</f>
        <v/>
      </c>
    </row>
    <row r="163" ht="20" customHeight="1">
      <c r="B163" s="145">
        <f>IF('Listes'!E7="","",'Listes'!E7)</f>
        <v/>
      </c>
      <c r="C163" s="146">
        <f>IF($B163="","",COUNTIFS('Journal'!$Q$6:$Q$505,$B163,'Journal'!$X$6:$X$505,"&gt;-999999999"))</f>
        <v/>
      </c>
      <c r="D163" s="147">
        <f>IF($B163="","",IF(C163=0,0,COUNTIFS('Journal'!$Q$6:$Q$505,$B163,'Journal'!$X$6:$X$505,"&gt;0")/C163))</f>
        <v/>
      </c>
      <c r="E163" s="148">
        <f>IF($B163="","",SUMIFS('Journal'!$X$6:$X$505,'Journal'!$Q$6:$Q$505,$B163))</f>
        <v/>
      </c>
      <c r="F163" s="149">
        <f>IF($B163="","",IFERROR(AVERAGEIFS('Journal'!$AA$6:$AA$505,'Journal'!$Q$6:$Q$505,$B163),0))</f>
        <v/>
      </c>
      <c r="G163" s="150">
        <f>IF($B163="","",IF(C163=0,0,IF(SUMIFS('Journal'!$X$6:$X$505,'Journal'!$Q$6:$Q$505,$B163,'Journal'!$X$6:$X$505,"&lt;0")=0,IF(SUMIFS('Journal'!$X$6:$X$505,'Journal'!$Q$6:$Q$505,$B163,'Journal'!$X$6:$X$505,"&gt;0")&gt;0,"∞",0),SUMIFS('Journal'!$X$6:$X$505,'Journal'!$Q$6:$Q$505,$B163,'Journal'!$X$6:$X$505,"&gt;0")/ABS(SUMIFS('Journal'!$X$6:$X$505,'Journal'!$Q$6:$Q$505,$B163,'Journal'!$X$6:$X$505,"&lt;0")))))</f>
        <v/>
      </c>
      <c r="H163" s="151">
        <f>IF($B163="","",IF(C163=0,0,E163/C163))</f>
        <v/>
      </c>
    </row>
    <row r="164" ht="20" customHeight="1">
      <c r="B164" s="139">
        <f>IF('Listes'!E8="","",'Listes'!E8)</f>
        <v/>
      </c>
      <c r="C164" s="109">
        <f>IF($B164="","",COUNTIFS('Journal'!$Q$6:$Q$505,$B164,'Journal'!$X$6:$X$505,"&gt;-999999999"))</f>
        <v/>
      </c>
      <c r="D164" s="140">
        <f>IF($B164="","",IF(C164=0,0,COUNTIFS('Journal'!$Q$6:$Q$505,$B164,'Journal'!$X$6:$X$505,"&gt;0")/C164))</f>
        <v/>
      </c>
      <c r="E164" s="141">
        <f>IF($B164="","",SUMIFS('Journal'!$X$6:$X$505,'Journal'!$Q$6:$Q$505,$B164))</f>
        <v/>
      </c>
      <c r="F164" s="142">
        <f>IF($B164="","",IFERROR(AVERAGEIFS('Journal'!$AA$6:$AA$505,'Journal'!$Q$6:$Q$505,$B164),0))</f>
        <v/>
      </c>
      <c r="G164" s="143">
        <f>IF($B164="","",IF(C164=0,0,IF(SUMIFS('Journal'!$X$6:$X$505,'Journal'!$Q$6:$Q$505,$B164,'Journal'!$X$6:$X$505,"&lt;0")=0,IF(SUMIFS('Journal'!$X$6:$X$505,'Journal'!$Q$6:$Q$505,$B164,'Journal'!$X$6:$X$505,"&gt;0")&gt;0,"∞",0),SUMIFS('Journal'!$X$6:$X$505,'Journal'!$Q$6:$Q$505,$B164,'Journal'!$X$6:$X$505,"&gt;0")/ABS(SUMIFS('Journal'!$X$6:$X$505,'Journal'!$Q$6:$Q$505,$B164,'Journal'!$X$6:$X$505,"&lt;0")))))</f>
        <v/>
      </c>
      <c r="H164" s="144">
        <f>IF($B164="","",IF(C164=0,0,E164/C164))</f>
        <v/>
      </c>
    </row>
    <row r="165" ht="20" customHeight="1">
      <c r="B165" s="145">
        <f>IF('Listes'!E9="","",'Listes'!E9)</f>
        <v/>
      </c>
      <c r="C165" s="146">
        <f>IF($B165="","",COUNTIFS('Journal'!$Q$6:$Q$505,$B165,'Journal'!$X$6:$X$505,"&gt;-999999999"))</f>
        <v/>
      </c>
      <c r="D165" s="147">
        <f>IF($B165="","",IF(C165=0,0,COUNTIFS('Journal'!$Q$6:$Q$505,$B165,'Journal'!$X$6:$X$505,"&gt;0")/C165))</f>
        <v/>
      </c>
      <c r="E165" s="148">
        <f>IF($B165="","",SUMIFS('Journal'!$X$6:$X$505,'Journal'!$Q$6:$Q$505,$B165))</f>
        <v/>
      </c>
      <c r="F165" s="149">
        <f>IF($B165="","",IFERROR(AVERAGEIFS('Journal'!$AA$6:$AA$505,'Journal'!$Q$6:$Q$505,$B165),0))</f>
        <v/>
      </c>
      <c r="G165" s="150">
        <f>IF($B165="","",IF(C165=0,0,IF(SUMIFS('Journal'!$X$6:$X$505,'Journal'!$Q$6:$Q$505,$B165,'Journal'!$X$6:$X$505,"&lt;0")=0,IF(SUMIFS('Journal'!$X$6:$X$505,'Journal'!$Q$6:$Q$505,$B165,'Journal'!$X$6:$X$505,"&gt;0")&gt;0,"∞",0),SUMIFS('Journal'!$X$6:$X$505,'Journal'!$Q$6:$Q$505,$B165,'Journal'!$X$6:$X$505,"&gt;0")/ABS(SUMIFS('Journal'!$X$6:$X$505,'Journal'!$Q$6:$Q$505,$B165,'Journal'!$X$6:$X$505,"&lt;0")))))</f>
        <v/>
      </c>
      <c r="H165" s="151">
        <f>IF($B165="","",IF(C165=0,0,E165/C165))</f>
        <v/>
      </c>
    </row>
    <row r="166" ht="20" customHeight="1">
      <c r="B166" s="139">
        <f>IF('Listes'!E10="","",'Listes'!E10)</f>
        <v/>
      </c>
      <c r="C166" s="109">
        <f>IF($B166="","",COUNTIFS('Journal'!$Q$6:$Q$505,$B166,'Journal'!$X$6:$X$505,"&gt;-999999999"))</f>
        <v/>
      </c>
      <c r="D166" s="140">
        <f>IF($B166="","",IF(C166=0,0,COUNTIFS('Journal'!$Q$6:$Q$505,$B166,'Journal'!$X$6:$X$505,"&gt;0")/C166))</f>
        <v/>
      </c>
      <c r="E166" s="141">
        <f>IF($B166="","",SUMIFS('Journal'!$X$6:$X$505,'Journal'!$Q$6:$Q$505,$B166))</f>
        <v/>
      </c>
      <c r="F166" s="142">
        <f>IF($B166="","",IFERROR(AVERAGEIFS('Journal'!$AA$6:$AA$505,'Journal'!$Q$6:$Q$505,$B166),0))</f>
        <v/>
      </c>
      <c r="G166" s="143">
        <f>IF($B166="","",IF(C166=0,0,IF(SUMIFS('Journal'!$X$6:$X$505,'Journal'!$Q$6:$Q$505,$B166,'Journal'!$X$6:$X$505,"&lt;0")=0,IF(SUMIFS('Journal'!$X$6:$X$505,'Journal'!$Q$6:$Q$505,$B166,'Journal'!$X$6:$X$505,"&gt;0")&gt;0,"∞",0),SUMIFS('Journal'!$X$6:$X$505,'Journal'!$Q$6:$Q$505,$B166,'Journal'!$X$6:$X$505,"&gt;0")/ABS(SUMIFS('Journal'!$X$6:$X$505,'Journal'!$Q$6:$Q$505,$B166,'Journal'!$X$6:$X$505,"&lt;0")))))</f>
        <v/>
      </c>
      <c r="H166" s="144">
        <f>IF($B166="","",IF(C166=0,0,E166/C166))</f>
        <v/>
      </c>
    </row>
    <row r="167" ht="20" customHeight="1">
      <c r="B167" s="145">
        <f>IF('Listes'!E11="","",'Listes'!E11)</f>
        <v/>
      </c>
      <c r="C167" s="146">
        <f>IF($B167="","",COUNTIFS('Journal'!$Q$6:$Q$505,$B167,'Journal'!$X$6:$X$505,"&gt;-999999999"))</f>
        <v/>
      </c>
      <c r="D167" s="147">
        <f>IF($B167="","",IF(C167=0,0,COUNTIFS('Journal'!$Q$6:$Q$505,$B167,'Journal'!$X$6:$X$505,"&gt;0")/C167))</f>
        <v/>
      </c>
      <c r="E167" s="148">
        <f>IF($B167="","",SUMIFS('Journal'!$X$6:$X$505,'Journal'!$Q$6:$Q$505,$B167))</f>
        <v/>
      </c>
      <c r="F167" s="149">
        <f>IF($B167="","",IFERROR(AVERAGEIFS('Journal'!$AA$6:$AA$505,'Journal'!$Q$6:$Q$505,$B167),0))</f>
        <v/>
      </c>
      <c r="G167" s="150">
        <f>IF($B167="","",IF(C167=0,0,IF(SUMIFS('Journal'!$X$6:$X$505,'Journal'!$Q$6:$Q$505,$B167,'Journal'!$X$6:$X$505,"&lt;0")=0,IF(SUMIFS('Journal'!$X$6:$X$505,'Journal'!$Q$6:$Q$505,$B167,'Journal'!$X$6:$X$505,"&gt;0")&gt;0,"∞",0),SUMIFS('Journal'!$X$6:$X$505,'Journal'!$Q$6:$Q$505,$B167,'Journal'!$X$6:$X$505,"&gt;0")/ABS(SUMIFS('Journal'!$X$6:$X$505,'Journal'!$Q$6:$Q$505,$B167,'Journal'!$X$6:$X$505,"&lt;0")))))</f>
        <v/>
      </c>
      <c r="H167" s="151">
        <f>IF($B167="","",IF(C167=0,0,E167/C167))</f>
        <v/>
      </c>
    </row>
    <row r="168" ht="20" customHeight="1">
      <c r="B168" s="139">
        <f>IF('Listes'!E12="","",'Listes'!E12)</f>
        <v/>
      </c>
      <c r="C168" s="109">
        <f>IF($B168="","",COUNTIFS('Journal'!$Q$6:$Q$505,$B168,'Journal'!$X$6:$X$505,"&gt;-999999999"))</f>
        <v/>
      </c>
      <c r="D168" s="140">
        <f>IF($B168="","",IF(C168=0,0,COUNTIFS('Journal'!$Q$6:$Q$505,$B168,'Journal'!$X$6:$X$505,"&gt;0")/C168))</f>
        <v/>
      </c>
      <c r="E168" s="141">
        <f>IF($B168="","",SUMIFS('Journal'!$X$6:$X$505,'Journal'!$Q$6:$Q$505,$B168))</f>
        <v/>
      </c>
      <c r="F168" s="142">
        <f>IF($B168="","",IFERROR(AVERAGEIFS('Journal'!$AA$6:$AA$505,'Journal'!$Q$6:$Q$505,$B168),0))</f>
        <v/>
      </c>
      <c r="G168" s="143">
        <f>IF($B168="","",IF(C168=0,0,IF(SUMIFS('Journal'!$X$6:$X$505,'Journal'!$Q$6:$Q$505,$B168,'Journal'!$X$6:$X$505,"&lt;0")=0,IF(SUMIFS('Journal'!$X$6:$X$505,'Journal'!$Q$6:$Q$505,$B168,'Journal'!$X$6:$X$505,"&gt;0")&gt;0,"∞",0),SUMIFS('Journal'!$X$6:$X$505,'Journal'!$Q$6:$Q$505,$B168,'Journal'!$X$6:$X$505,"&gt;0")/ABS(SUMIFS('Journal'!$X$6:$X$505,'Journal'!$Q$6:$Q$505,$B168,'Journal'!$X$6:$X$505,"&lt;0")))))</f>
        <v/>
      </c>
      <c r="H168" s="144">
        <f>IF($B168="","",IF(C168=0,0,E168/C168))</f>
        <v/>
      </c>
    </row>
    <row r="169" ht="20" customHeight="1">
      <c r="B169" s="145">
        <f>IF('Listes'!E13="","",'Listes'!E13)</f>
        <v/>
      </c>
      <c r="C169" s="146">
        <f>IF($B169="","",COUNTIFS('Journal'!$Q$6:$Q$505,$B169,'Journal'!$X$6:$X$505,"&gt;-999999999"))</f>
        <v/>
      </c>
      <c r="D169" s="147">
        <f>IF($B169="","",IF(C169=0,0,COUNTIFS('Journal'!$Q$6:$Q$505,$B169,'Journal'!$X$6:$X$505,"&gt;0")/C169))</f>
        <v/>
      </c>
      <c r="E169" s="148">
        <f>IF($B169="","",SUMIFS('Journal'!$X$6:$X$505,'Journal'!$Q$6:$Q$505,$B169))</f>
        <v/>
      </c>
      <c r="F169" s="149">
        <f>IF($B169="","",IFERROR(AVERAGEIFS('Journal'!$AA$6:$AA$505,'Journal'!$Q$6:$Q$505,$B169),0))</f>
        <v/>
      </c>
      <c r="G169" s="150">
        <f>IF($B169="","",IF(C169=0,0,IF(SUMIFS('Journal'!$X$6:$X$505,'Journal'!$Q$6:$Q$505,$B169,'Journal'!$X$6:$X$505,"&lt;0")=0,IF(SUMIFS('Journal'!$X$6:$X$505,'Journal'!$Q$6:$Q$505,$B169,'Journal'!$X$6:$X$505,"&gt;0")&gt;0,"∞",0),SUMIFS('Journal'!$X$6:$X$505,'Journal'!$Q$6:$Q$505,$B169,'Journal'!$X$6:$X$505,"&gt;0")/ABS(SUMIFS('Journal'!$X$6:$X$505,'Journal'!$Q$6:$Q$505,$B169,'Journal'!$X$6:$X$505,"&lt;0")))))</f>
        <v/>
      </c>
      <c r="H169" s="151">
        <f>IF($B169="","",IF(C169=0,0,E169/C169))</f>
        <v/>
      </c>
    </row>
    <row r="170" ht="20" customHeight="1">
      <c r="B170" s="139">
        <f>IF('Listes'!E14="","",'Listes'!E14)</f>
        <v/>
      </c>
      <c r="C170" s="109">
        <f>IF($B170="","",COUNTIFS('Journal'!$Q$6:$Q$505,$B170,'Journal'!$X$6:$X$505,"&gt;-999999999"))</f>
        <v/>
      </c>
      <c r="D170" s="140">
        <f>IF($B170="","",IF(C170=0,0,COUNTIFS('Journal'!$Q$6:$Q$505,$B170,'Journal'!$X$6:$X$505,"&gt;0")/C170))</f>
        <v/>
      </c>
      <c r="E170" s="141">
        <f>IF($B170="","",SUMIFS('Journal'!$X$6:$X$505,'Journal'!$Q$6:$Q$505,$B170))</f>
        <v/>
      </c>
      <c r="F170" s="142">
        <f>IF($B170="","",IFERROR(AVERAGEIFS('Journal'!$AA$6:$AA$505,'Journal'!$Q$6:$Q$505,$B170),0))</f>
        <v/>
      </c>
      <c r="G170" s="143">
        <f>IF($B170="","",IF(C170=0,0,IF(SUMIFS('Journal'!$X$6:$X$505,'Journal'!$Q$6:$Q$505,$B170,'Journal'!$X$6:$X$505,"&lt;0")=0,IF(SUMIFS('Journal'!$X$6:$X$505,'Journal'!$Q$6:$Q$505,$B170,'Journal'!$X$6:$X$505,"&gt;0")&gt;0,"∞",0),SUMIFS('Journal'!$X$6:$X$505,'Journal'!$Q$6:$Q$505,$B170,'Journal'!$X$6:$X$505,"&gt;0")/ABS(SUMIFS('Journal'!$X$6:$X$505,'Journal'!$Q$6:$Q$505,$B170,'Journal'!$X$6:$X$505,"&lt;0")))))</f>
        <v/>
      </c>
      <c r="H170" s="144">
        <f>IF($B170="","",IF(C170=0,0,E170/C170))</f>
        <v/>
      </c>
    </row>
    <row r="171" ht="20" customHeight="1">
      <c r="B171" s="145">
        <f>IF('Listes'!E15="","",'Listes'!E15)</f>
        <v/>
      </c>
      <c r="C171" s="146">
        <f>IF($B171="","",COUNTIFS('Journal'!$Q$6:$Q$505,$B171,'Journal'!$X$6:$X$505,"&gt;-999999999"))</f>
        <v/>
      </c>
      <c r="D171" s="147">
        <f>IF($B171="","",IF(C171=0,0,COUNTIFS('Journal'!$Q$6:$Q$505,$B171,'Journal'!$X$6:$X$505,"&gt;0")/C171))</f>
        <v/>
      </c>
      <c r="E171" s="148">
        <f>IF($B171="","",SUMIFS('Journal'!$X$6:$X$505,'Journal'!$Q$6:$Q$505,$B171))</f>
        <v/>
      </c>
      <c r="F171" s="149">
        <f>IF($B171="","",IFERROR(AVERAGEIFS('Journal'!$AA$6:$AA$505,'Journal'!$Q$6:$Q$505,$B171),0))</f>
        <v/>
      </c>
      <c r="G171" s="150">
        <f>IF($B171="","",IF(C171=0,0,IF(SUMIFS('Journal'!$X$6:$X$505,'Journal'!$Q$6:$Q$505,$B171,'Journal'!$X$6:$X$505,"&lt;0")=0,IF(SUMIFS('Journal'!$X$6:$X$505,'Journal'!$Q$6:$Q$505,$B171,'Journal'!$X$6:$X$505,"&gt;0")&gt;0,"∞",0),SUMIFS('Journal'!$X$6:$X$505,'Journal'!$Q$6:$Q$505,$B171,'Journal'!$X$6:$X$505,"&gt;0")/ABS(SUMIFS('Journal'!$X$6:$X$505,'Journal'!$Q$6:$Q$505,$B171,'Journal'!$X$6:$X$505,"&lt;0")))))</f>
        <v/>
      </c>
      <c r="H171" s="151">
        <f>IF($B171="","",IF(C171=0,0,E171/C171))</f>
        <v/>
      </c>
    </row>
    <row r="172" ht="20" customHeight="1">
      <c r="B172" s="139">
        <f>IF('Listes'!E16="","",'Listes'!E16)</f>
        <v/>
      </c>
      <c r="C172" s="109">
        <f>IF($B172="","",COUNTIFS('Journal'!$Q$6:$Q$505,$B172,'Journal'!$X$6:$X$505,"&gt;-999999999"))</f>
        <v/>
      </c>
      <c r="D172" s="140">
        <f>IF($B172="","",IF(C172=0,0,COUNTIFS('Journal'!$Q$6:$Q$505,$B172,'Journal'!$X$6:$X$505,"&gt;0")/C172))</f>
        <v/>
      </c>
      <c r="E172" s="141">
        <f>IF($B172="","",SUMIFS('Journal'!$X$6:$X$505,'Journal'!$Q$6:$Q$505,$B172))</f>
        <v/>
      </c>
      <c r="F172" s="142">
        <f>IF($B172="","",IFERROR(AVERAGEIFS('Journal'!$AA$6:$AA$505,'Journal'!$Q$6:$Q$505,$B172),0))</f>
        <v/>
      </c>
      <c r="G172" s="143">
        <f>IF($B172="","",IF(C172=0,0,IF(SUMIFS('Journal'!$X$6:$X$505,'Journal'!$Q$6:$Q$505,$B172,'Journal'!$X$6:$X$505,"&lt;0")=0,IF(SUMIFS('Journal'!$X$6:$X$505,'Journal'!$Q$6:$Q$505,$B172,'Journal'!$X$6:$X$505,"&gt;0")&gt;0,"∞",0),SUMIFS('Journal'!$X$6:$X$505,'Journal'!$Q$6:$Q$505,$B172,'Journal'!$X$6:$X$505,"&gt;0")/ABS(SUMIFS('Journal'!$X$6:$X$505,'Journal'!$Q$6:$Q$505,$B172,'Journal'!$X$6:$X$505,"&lt;0")))))</f>
        <v/>
      </c>
      <c r="H172" s="144">
        <f>IF($B172="","",IF(C172=0,0,E172/C172))</f>
        <v/>
      </c>
    </row>
    <row r="173" ht="20" customHeight="1">
      <c r="B173" s="145">
        <f>IF('Listes'!E17="","",'Listes'!E17)</f>
        <v/>
      </c>
      <c r="C173" s="146">
        <f>IF($B173="","",COUNTIFS('Journal'!$Q$6:$Q$505,$B173,'Journal'!$X$6:$X$505,"&gt;-999999999"))</f>
        <v/>
      </c>
      <c r="D173" s="147">
        <f>IF($B173="","",IF(C173=0,0,COUNTIFS('Journal'!$Q$6:$Q$505,$B173,'Journal'!$X$6:$X$505,"&gt;0")/C173))</f>
        <v/>
      </c>
      <c r="E173" s="148">
        <f>IF($B173="","",SUMIFS('Journal'!$X$6:$X$505,'Journal'!$Q$6:$Q$505,$B173))</f>
        <v/>
      </c>
      <c r="F173" s="149">
        <f>IF($B173="","",IFERROR(AVERAGEIFS('Journal'!$AA$6:$AA$505,'Journal'!$Q$6:$Q$505,$B173),0))</f>
        <v/>
      </c>
      <c r="G173" s="150">
        <f>IF($B173="","",IF(C173=0,0,IF(SUMIFS('Journal'!$X$6:$X$505,'Journal'!$Q$6:$Q$505,$B173,'Journal'!$X$6:$X$505,"&lt;0")=0,IF(SUMIFS('Journal'!$X$6:$X$505,'Journal'!$Q$6:$Q$505,$B173,'Journal'!$X$6:$X$505,"&gt;0")&gt;0,"∞",0),SUMIFS('Journal'!$X$6:$X$505,'Journal'!$Q$6:$Q$505,$B173,'Journal'!$X$6:$X$505,"&gt;0")/ABS(SUMIFS('Journal'!$X$6:$X$505,'Journal'!$Q$6:$Q$505,$B173,'Journal'!$X$6:$X$505,"&lt;0")))))</f>
        <v/>
      </c>
      <c r="H173" s="151">
        <f>IF($B173="","",IF(C173=0,0,E173/C173))</f>
        <v/>
      </c>
    </row>
    <row r="176" ht="24" customHeight="1">
      <c r="B176" s="54" t="inlineStr">
        <is>
          <t>RESPECT DU PLAN</t>
        </is>
      </c>
      <c r="C176" s="55" t="n"/>
      <c r="D176" s="55" t="n"/>
      <c r="E176" s="55" t="n"/>
      <c r="F176" s="55" t="n"/>
      <c r="G176" s="55" t="n"/>
      <c r="H176" s="55" t="n"/>
    </row>
    <row r="177" ht="26" customHeight="1">
      <c r="B177" s="117" t="inlineStr">
        <is>
          <t>Plan respecté</t>
        </is>
      </c>
      <c r="C177" s="83" t="inlineStr">
        <is>
          <t>Trades</t>
        </is>
      </c>
      <c r="D177" s="83" t="inlineStr">
        <is>
          <t>Réussite</t>
        </is>
      </c>
      <c r="E177" s="83" t="inlineStr">
        <is>
          <t>P&amp;L net</t>
        </is>
      </c>
      <c r="F177" s="83" t="inlineStr">
        <is>
          <t>R moyen</t>
        </is>
      </c>
      <c r="G177" s="83" t="inlineStr">
        <is>
          <t>Profit F.</t>
        </is>
      </c>
      <c r="H177" s="83" t="inlineStr">
        <is>
          <t>Espérance</t>
        </is>
      </c>
    </row>
    <row r="178" ht="20" customHeight="1">
      <c r="B178" s="139" t="inlineStr">
        <is>
          <t>Oui</t>
        </is>
      </c>
      <c r="C178" s="109">
        <f>IF($B178="","",COUNTIFS('Journal'!$P$6:$P$505,$B178,'Journal'!$X$6:$X$505,"&gt;-999999999"))</f>
        <v/>
      </c>
      <c r="D178" s="140">
        <f>IF($B178="","",IF(C178=0,0,COUNTIFS('Journal'!$P$6:$P$505,$B178,'Journal'!$X$6:$X$505,"&gt;0")/C178))</f>
        <v/>
      </c>
      <c r="E178" s="141">
        <f>IF($B178="","",SUMIFS('Journal'!$X$6:$X$505,'Journal'!$P$6:$P$505,$B178))</f>
        <v/>
      </c>
      <c r="F178" s="142">
        <f>IF($B178="","",IFERROR(AVERAGEIFS('Journal'!$AA$6:$AA$505,'Journal'!$P$6:$P$505,$B178),0))</f>
        <v/>
      </c>
      <c r="G178" s="143">
        <f>IF($B178="","",IF(C178=0,0,IF(SUMIFS('Journal'!$X$6:$X$505,'Journal'!$P$6:$P$505,$B178,'Journal'!$X$6:$X$505,"&lt;0")=0,IF(SUMIFS('Journal'!$X$6:$X$505,'Journal'!$P$6:$P$505,$B178,'Journal'!$X$6:$X$505,"&gt;0")&gt;0,"∞",0),SUMIFS('Journal'!$X$6:$X$505,'Journal'!$P$6:$P$505,$B178,'Journal'!$X$6:$X$505,"&gt;0")/ABS(SUMIFS('Journal'!$X$6:$X$505,'Journal'!$P$6:$P$505,$B178,'Journal'!$X$6:$X$505,"&lt;0")))))</f>
        <v/>
      </c>
      <c r="H178" s="144">
        <f>IF($B178="","",IF(C178=0,0,E178/C178))</f>
        <v/>
      </c>
    </row>
    <row r="179" ht="20" customHeight="1">
      <c r="B179" s="145" t="inlineStr">
        <is>
          <t>Non</t>
        </is>
      </c>
      <c r="C179" s="146">
        <f>IF($B179="","",COUNTIFS('Journal'!$P$6:$P$505,$B179,'Journal'!$X$6:$X$505,"&gt;-999999999"))</f>
        <v/>
      </c>
      <c r="D179" s="147">
        <f>IF($B179="","",IF(C179=0,0,COUNTIFS('Journal'!$P$6:$P$505,$B179,'Journal'!$X$6:$X$505,"&gt;0")/C179))</f>
        <v/>
      </c>
      <c r="E179" s="148">
        <f>IF($B179="","",SUMIFS('Journal'!$X$6:$X$505,'Journal'!$P$6:$P$505,$B179))</f>
        <v/>
      </c>
      <c r="F179" s="149">
        <f>IF($B179="","",IFERROR(AVERAGEIFS('Journal'!$AA$6:$AA$505,'Journal'!$P$6:$P$505,$B179),0))</f>
        <v/>
      </c>
      <c r="G179" s="150">
        <f>IF($B179="","",IF(C179=0,0,IF(SUMIFS('Journal'!$X$6:$X$505,'Journal'!$P$6:$P$505,$B179,'Journal'!$X$6:$X$505,"&lt;0")=0,IF(SUMIFS('Journal'!$X$6:$X$505,'Journal'!$P$6:$P$505,$B179,'Journal'!$X$6:$X$505,"&gt;0")&gt;0,"∞",0),SUMIFS('Journal'!$X$6:$X$505,'Journal'!$P$6:$P$505,$B179,'Journal'!$X$6:$X$505,"&gt;0")/ABS(SUMIFS('Journal'!$X$6:$X$505,'Journal'!$P$6:$P$505,$B179,'Journal'!$X$6:$X$505,"&lt;0")))))</f>
        <v/>
      </c>
      <c r="H179" s="151">
        <f>IF($B179="","",IF(C179=0,0,E179/C179))</f>
        <v/>
      </c>
    </row>
    <row r="182" ht="24" customHeight="1">
      <c r="B182" s="54" t="inlineStr">
        <is>
          <t>PAR DURÉE DE TRADE</t>
        </is>
      </c>
      <c r="C182" s="55" t="n"/>
      <c r="D182" s="55" t="n"/>
      <c r="E182" s="55" t="n"/>
      <c r="F182" s="55" t="n"/>
      <c r="G182" s="55" t="n"/>
      <c r="H182" s="55" t="n"/>
    </row>
    <row r="183" ht="26" customHeight="1">
      <c r="B183" s="117" t="inlineStr">
        <is>
          <t>Durée</t>
        </is>
      </c>
      <c r="C183" s="83" t="inlineStr">
        <is>
          <t>Trades</t>
        </is>
      </c>
      <c r="D183" s="83" t="inlineStr">
        <is>
          <t>Réussite</t>
        </is>
      </c>
      <c r="E183" s="83" t="inlineStr">
        <is>
          <t>P&amp;L net</t>
        </is>
      </c>
      <c r="F183" s="83" t="inlineStr">
        <is>
          <t>R moyen</t>
        </is>
      </c>
      <c r="G183" s="83" t="inlineStr">
        <is>
          <t>Profit F.</t>
        </is>
      </c>
      <c r="H183" s="83" t="inlineStr">
        <is>
          <t>Espérance</t>
        </is>
      </c>
    </row>
    <row r="184" ht="20" customHeight="1">
      <c r="B184" s="139" t="inlineStr">
        <is>
          <t>0 – 1 jour</t>
        </is>
      </c>
      <c r="C184" s="109">
        <f>IF($B184="","",COUNTIFS('Journal'!$V$6:$V$505,"&gt;="&amp;0,'Journal'!$V$6:$V$505,"&lt;="&amp;1,'Journal'!$X$6:$X$505,"&gt;-999999999"))</f>
        <v/>
      </c>
      <c r="D184" s="140">
        <f>IF($B184="","",IF(C184=0,0,COUNTIFS('Journal'!$V$6:$V$505,"&gt;="&amp;0,'Journal'!$V$6:$V$505,"&lt;="&amp;1,'Journal'!$X$6:$X$505,"&gt;0")/C184))</f>
        <v/>
      </c>
      <c r="E184" s="141">
        <f>IF($B184="","",SUMIFS('Journal'!$X$6:$X$505,'Journal'!$V$6:$V$505,"&gt;="&amp;0,'Journal'!$V$6:$V$505,"&lt;="&amp;1))</f>
        <v/>
      </c>
      <c r="F184" s="142">
        <f>IF($B184="","",IFERROR(AVERAGEIFS('Journal'!$AA$6:$AA$505,'Journal'!$V$6:$V$505,"&gt;="&amp;0,'Journal'!$V$6:$V$505,"&lt;="&amp;1),0))</f>
        <v/>
      </c>
      <c r="G184" s="143">
        <f>IF($B184="","",IF(C184=0,0,IF(SUMIFS('Journal'!$X$6:$X$505,'Journal'!$V$6:$V$505,"&gt;="&amp;0,'Journal'!$V$6:$V$505,"&lt;="&amp;1,'Journal'!$X$6:$X$505,"&lt;0")=0,IF(SUMIFS('Journal'!$X$6:$X$505,'Journal'!$V$6:$V$505,"&gt;="&amp;0,'Journal'!$V$6:$V$505,"&lt;="&amp;1,'Journal'!$X$6:$X$505,"&gt;0")&gt;0,"∞",0),SUMIFS('Journal'!$X$6:$X$505,'Journal'!$V$6:$V$505,"&gt;="&amp;0,'Journal'!$V$6:$V$505,"&lt;="&amp;1,'Journal'!$X$6:$X$505,"&gt;0")/ABS(SUMIFS('Journal'!$X$6:$X$505,'Journal'!$V$6:$V$505,"&gt;="&amp;0,'Journal'!$V$6:$V$505,"&lt;="&amp;1,'Journal'!$X$6:$X$505,"&lt;0")))))</f>
        <v/>
      </c>
      <c r="H184" s="144">
        <f>IF($B184="","",IF(C184=0,0,E184/C184))</f>
        <v/>
      </c>
    </row>
    <row r="185" ht="20" customHeight="1">
      <c r="B185" s="145" t="inlineStr">
        <is>
          <t>2 – 3 jours</t>
        </is>
      </c>
      <c r="C185" s="146">
        <f>IF($B185="","",COUNTIFS('Journal'!$V$6:$V$505,"&gt;="&amp;2,'Journal'!$V$6:$V$505,"&lt;="&amp;3,'Journal'!$X$6:$X$505,"&gt;-999999999"))</f>
        <v/>
      </c>
      <c r="D185" s="147">
        <f>IF($B185="","",IF(C185=0,0,COUNTIFS('Journal'!$V$6:$V$505,"&gt;="&amp;2,'Journal'!$V$6:$V$505,"&lt;="&amp;3,'Journal'!$X$6:$X$505,"&gt;0")/C185))</f>
        <v/>
      </c>
      <c r="E185" s="148">
        <f>IF($B185="","",SUMIFS('Journal'!$X$6:$X$505,'Journal'!$V$6:$V$505,"&gt;="&amp;2,'Journal'!$V$6:$V$505,"&lt;="&amp;3))</f>
        <v/>
      </c>
      <c r="F185" s="149">
        <f>IF($B185="","",IFERROR(AVERAGEIFS('Journal'!$AA$6:$AA$505,'Journal'!$V$6:$V$505,"&gt;="&amp;2,'Journal'!$V$6:$V$505,"&lt;="&amp;3),0))</f>
        <v/>
      </c>
      <c r="G185" s="150">
        <f>IF($B185="","",IF(C185=0,0,IF(SUMIFS('Journal'!$X$6:$X$505,'Journal'!$V$6:$V$505,"&gt;="&amp;2,'Journal'!$V$6:$V$505,"&lt;="&amp;3,'Journal'!$X$6:$X$505,"&lt;0")=0,IF(SUMIFS('Journal'!$X$6:$X$505,'Journal'!$V$6:$V$505,"&gt;="&amp;2,'Journal'!$V$6:$V$505,"&lt;="&amp;3,'Journal'!$X$6:$X$505,"&gt;0")&gt;0,"∞",0),SUMIFS('Journal'!$X$6:$X$505,'Journal'!$V$6:$V$505,"&gt;="&amp;2,'Journal'!$V$6:$V$505,"&lt;="&amp;3,'Journal'!$X$6:$X$505,"&gt;0")/ABS(SUMIFS('Journal'!$X$6:$X$505,'Journal'!$V$6:$V$505,"&gt;="&amp;2,'Journal'!$V$6:$V$505,"&lt;="&amp;3,'Journal'!$X$6:$X$505,"&lt;0")))))</f>
        <v/>
      </c>
      <c r="H185" s="151">
        <f>IF($B185="","",IF(C185=0,0,E185/C185))</f>
        <v/>
      </c>
    </row>
    <row r="186" ht="20" customHeight="1">
      <c r="B186" s="139" t="inlineStr">
        <is>
          <t>4 – 7 jours</t>
        </is>
      </c>
      <c r="C186" s="109">
        <f>IF($B186="","",COUNTIFS('Journal'!$V$6:$V$505,"&gt;="&amp;4,'Journal'!$V$6:$V$505,"&lt;="&amp;7,'Journal'!$X$6:$X$505,"&gt;-999999999"))</f>
        <v/>
      </c>
      <c r="D186" s="140">
        <f>IF($B186="","",IF(C186=0,0,COUNTIFS('Journal'!$V$6:$V$505,"&gt;="&amp;4,'Journal'!$V$6:$V$505,"&lt;="&amp;7,'Journal'!$X$6:$X$505,"&gt;0")/C186))</f>
        <v/>
      </c>
      <c r="E186" s="141">
        <f>IF($B186="","",SUMIFS('Journal'!$X$6:$X$505,'Journal'!$V$6:$V$505,"&gt;="&amp;4,'Journal'!$V$6:$V$505,"&lt;="&amp;7))</f>
        <v/>
      </c>
      <c r="F186" s="142">
        <f>IF($B186="","",IFERROR(AVERAGEIFS('Journal'!$AA$6:$AA$505,'Journal'!$V$6:$V$505,"&gt;="&amp;4,'Journal'!$V$6:$V$505,"&lt;="&amp;7),0))</f>
        <v/>
      </c>
      <c r="G186" s="143">
        <f>IF($B186="","",IF(C186=0,0,IF(SUMIFS('Journal'!$X$6:$X$505,'Journal'!$V$6:$V$505,"&gt;="&amp;4,'Journal'!$V$6:$V$505,"&lt;="&amp;7,'Journal'!$X$6:$X$505,"&lt;0")=0,IF(SUMIFS('Journal'!$X$6:$X$505,'Journal'!$V$6:$V$505,"&gt;="&amp;4,'Journal'!$V$6:$V$505,"&lt;="&amp;7,'Journal'!$X$6:$X$505,"&gt;0")&gt;0,"∞",0),SUMIFS('Journal'!$X$6:$X$505,'Journal'!$V$6:$V$505,"&gt;="&amp;4,'Journal'!$V$6:$V$505,"&lt;="&amp;7,'Journal'!$X$6:$X$505,"&gt;0")/ABS(SUMIFS('Journal'!$X$6:$X$505,'Journal'!$V$6:$V$505,"&gt;="&amp;4,'Journal'!$V$6:$V$505,"&lt;="&amp;7,'Journal'!$X$6:$X$505,"&lt;0")))))</f>
        <v/>
      </c>
      <c r="H186" s="144">
        <f>IF($B186="","",IF(C186=0,0,E186/C186))</f>
        <v/>
      </c>
    </row>
    <row r="187" ht="20" customHeight="1">
      <c r="B187" s="145" t="inlineStr">
        <is>
          <t>8 – 14 jours</t>
        </is>
      </c>
      <c r="C187" s="146">
        <f>IF($B187="","",COUNTIFS('Journal'!$V$6:$V$505,"&gt;="&amp;8,'Journal'!$V$6:$V$505,"&lt;="&amp;14,'Journal'!$X$6:$X$505,"&gt;-999999999"))</f>
        <v/>
      </c>
      <c r="D187" s="147">
        <f>IF($B187="","",IF(C187=0,0,COUNTIFS('Journal'!$V$6:$V$505,"&gt;="&amp;8,'Journal'!$V$6:$V$505,"&lt;="&amp;14,'Journal'!$X$6:$X$505,"&gt;0")/C187))</f>
        <v/>
      </c>
      <c r="E187" s="148">
        <f>IF($B187="","",SUMIFS('Journal'!$X$6:$X$505,'Journal'!$V$6:$V$505,"&gt;="&amp;8,'Journal'!$V$6:$V$505,"&lt;="&amp;14))</f>
        <v/>
      </c>
      <c r="F187" s="149">
        <f>IF($B187="","",IFERROR(AVERAGEIFS('Journal'!$AA$6:$AA$505,'Journal'!$V$6:$V$505,"&gt;="&amp;8,'Journal'!$V$6:$V$505,"&lt;="&amp;14),0))</f>
        <v/>
      </c>
      <c r="G187" s="150">
        <f>IF($B187="","",IF(C187=0,0,IF(SUMIFS('Journal'!$X$6:$X$505,'Journal'!$V$6:$V$505,"&gt;="&amp;8,'Journal'!$V$6:$V$505,"&lt;="&amp;14,'Journal'!$X$6:$X$505,"&lt;0")=0,IF(SUMIFS('Journal'!$X$6:$X$505,'Journal'!$V$6:$V$505,"&gt;="&amp;8,'Journal'!$V$6:$V$505,"&lt;="&amp;14,'Journal'!$X$6:$X$505,"&gt;0")&gt;0,"∞",0),SUMIFS('Journal'!$X$6:$X$505,'Journal'!$V$6:$V$505,"&gt;="&amp;8,'Journal'!$V$6:$V$505,"&lt;="&amp;14,'Journal'!$X$6:$X$505,"&gt;0")/ABS(SUMIFS('Journal'!$X$6:$X$505,'Journal'!$V$6:$V$505,"&gt;="&amp;8,'Journal'!$V$6:$V$505,"&lt;="&amp;14,'Journal'!$X$6:$X$505,"&lt;0")))))</f>
        <v/>
      </c>
      <c r="H187" s="151">
        <f>IF($B187="","",IF(C187=0,0,E187/C187))</f>
        <v/>
      </c>
    </row>
    <row r="188" ht="20" customHeight="1">
      <c r="B188" s="139" t="inlineStr">
        <is>
          <t>15 jours et +</t>
        </is>
      </c>
      <c r="C188" s="109">
        <f>IF($B188="","",COUNTIFS('Journal'!$V$6:$V$505,"&gt;="&amp;15,'Journal'!$V$6:$V$505,"&lt;="&amp;9999,'Journal'!$X$6:$X$505,"&gt;-999999999"))</f>
        <v/>
      </c>
      <c r="D188" s="140">
        <f>IF($B188="","",IF(C188=0,0,COUNTIFS('Journal'!$V$6:$V$505,"&gt;="&amp;15,'Journal'!$V$6:$V$505,"&lt;="&amp;9999,'Journal'!$X$6:$X$505,"&gt;0")/C188))</f>
        <v/>
      </c>
      <c r="E188" s="141">
        <f>IF($B188="","",SUMIFS('Journal'!$X$6:$X$505,'Journal'!$V$6:$V$505,"&gt;="&amp;15,'Journal'!$V$6:$V$505,"&lt;="&amp;9999))</f>
        <v/>
      </c>
      <c r="F188" s="142">
        <f>IF($B188="","",IFERROR(AVERAGEIFS('Journal'!$AA$6:$AA$505,'Journal'!$V$6:$V$505,"&gt;="&amp;15,'Journal'!$V$6:$V$505,"&lt;="&amp;9999),0))</f>
        <v/>
      </c>
      <c r="G188" s="143">
        <f>IF($B188="","",IF(C188=0,0,IF(SUMIFS('Journal'!$X$6:$X$505,'Journal'!$V$6:$V$505,"&gt;="&amp;15,'Journal'!$V$6:$V$505,"&lt;="&amp;9999,'Journal'!$X$6:$X$505,"&lt;0")=0,IF(SUMIFS('Journal'!$X$6:$X$505,'Journal'!$V$6:$V$505,"&gt;="&amp;15,'Journal'!$V$6:$V$505,"&lt;="&amp;9999,'Journal'!$X$6:$X$505,"&gt;0")&gt;0,"∞",0),SUMIFS('Journal'!$X$6:$X$505,'Journal'!$V$6:$V$505,"&gt;="&amp;15,'Journal'!$V$6:$V$505,"&lt;="&amp;9999,'Journal'!$X$6:$X$505,"&gt;0")/ABS(SUMIFS('Journal'!$X$6:$X$505,'Journal'!$V$6:$V$505,"&gt;="&amp;15,'Journal'!$V$6:$V$505,"&lt;="&amp;9999,'Journal'!$X$6:$X$505,"&lt;0")))))</f>
        <v/>
      </c>
      <c r="H188" s="144">
        <f>IF($B188="","",IF(C188=0,0,E188/C188))</f>
        <v/>
      </c>
    </row>
    <row r="193" ht="24" customHeight="1">
      <c r="B193" s="152" t="inlineStr">
        <is>
          <t>DISTRIBUTION DES MULTIPLES R</t>
        </is>
      </c>
      <c r="C193" s="153" t="n"/>
      <c r="D193" s="153" t="n"/>
      <c r="E193" s="153" t="n"/>
      <c r="F193" s="153" t="n"/>
      <c r="G193" s="153" t="n"/>
      <c r="H193" s="153" t="n"/>
    </row>
    <row r="194">
      <c r="B194" s="117" t="inlineStr">
        <is>
          <t>Tranche de résultat</t>
        </is>
      </c>
      <c r="C194" s="83" t="inlineStr">
        <is>
          <t>Trades</t>
        </is>
      </c>
      <c r="D194" s="83" t="inlineStr">
        <is>
          <t>Part</t>
        </is>
      </c>
    </row>
    <row r="195" ht="20" customHeight="1">
      <c r="B195" s="139" t="inlineStr">
        <is>
          <t>≤ -1,5 R</t>
        </is>
      </c>
      <c r="C195" s="154">
        <f>COUNTIFS('Journal'!$AA$6:$AA$505,"&gt;"&amp;-999,'Journal'!$AA$6:$AA$505,"&lt;="&amp;-1.5)</f>
        <v/>
      </c>
      <c r="D195" s="140">
        <f>IF('Analyse'!$C$12=0,0,C195/'Analyse'!$C$12)</f>
        <v/>
      </c>
    </row>
    <row r="196" ht="20" customHeight="1">
      <c r="B196" s="145" t="inlineStr">
        <is>
          <t>-1,5 R à -1 R</t>
        </is>
      </c>
      <c r="C196" s="155">
        <f>COUNTIFS('Journal'!$AA$6:$AA$505,"&gt;"&amp;-1.5,'Journal'!$AA$6:$AA$505,"&lt;="&amp;-1)</f>
        <v/>
      </c>
      <c r="D196" s="147">
        <f>IF('Analyse'!$C$12=0,0,C196/'Analyse'!$C$12)</f>
        <v/>
      </c>
    </row>
    <row r="197" ht="20" customHeight="1">
      <c r="B197" s="139" t="inlineStr">
        <is>
          <t>-1 R à -0,5 R</t>
        </is>
      </c>
      <c r="C197" s="154">
        <f>COUNTIFS('Journal'!$AA$6:$AA$505,"&gt;"&amp;-1,'Journal'!$AA$6:$AA$505,"&lt;="&amp;-0.5)</f>
        <v/>
      </c>
      <c r="D197" s="140">
        <f>IF('Analyse'!$C$12=0,0,C197/'Analyse'!$C$12)</f>
        <v/>
      </c>
    </row>
    <row r="198" ht="20" customHeight="1">
      <c r="B198" s="145" t="inlineStr">
        <is>
          <t>-0,5 R à 0</t>
        </is>
      </c>
      <c r="C198" s="155">
        <f>COUNTIFS('Journal'!$AA$6:$AA$505,"&gt;"&amp;-0.5,'Journal'!$AA$6:$AA$505,"&lt;="&amp;0)</f>
        <v/>
      </c>
      <c r="D198" s="147">
        <f>IF('Analyse'!$C$12=0,0,C198/'Analyse'!$C$12)</f>
        <v/>
      </c>
    </row>
    <row r="199" ht="20" customHeight="1">
      <c r="B199" s="139" t="inlineStr">
        <is>
          <t>0 à 1 R</t>
        </is>
      </c>
      <c r="C199" s="154">
        <f>COUNTIFS('Journal'!$AA$6:$AA$505,"&gt;"&amp;0,'Journal'!$AA$6:$AA$505,"&lt;="&amp;1)</f>
        <v/>
      </c>
      <c r="D199" s="140">
        <f>IF('Analyse'!$C$12=0,0,C199/'Analyse'!$C$12)</f>
        <v/>
      </c>
    </row>
    <row r="200" ht="20" customHeight="1">
      <c r="B200" s="145" t="inlineStr">
        <is>
          <t>1 R à 2 R</t>
        </is>
      </c>
      <c r="C200" s="155">
        <f>COUNTIFS('Journal'!$AA$6:$AA$505,"&gt;"&amp;1,'Journal'!$AA$6:$AA$505,"&lt;="&amp;2)</f>
        <v/>
      </c>
      <c r="D200" s="147">
        <f>IF('Analyse'!$C$12=0,0,C200/'Analyse'!$C$12)</f>
        <v/>
      </c>
    </row>
    <row r="201" ht="20" customHeight="1">
      <c r="B201" s="139" t="inlineStr">
        <is>
          <t>2 R à 3 R</t>
        </is>
      </c>
      <c r="C201" s="154">
        <f>COUNTIFS('Journal'!$AA$6:$AA$505,"&gt;"&amp;2,'Journal'!$AA$6:$AA$505,"&lt;="&amp;3)</f>
        <v/>
      </c>
      <c r="D201" s="140">
        <f>IF('Analyse'!$C$12=0,0,C201/'Analyse'!$C$12)</f>
        <v/>
      </c>
    </row>
    <row r="202" ht="20" customHeight="1">
      <c r="B202" s="145" t="inlineStr">
        <is>
          <t>&gt; 3 R</t>
        </is>
      </c>
      <c r="C202" s="155">
        <f>COUNTIFS('Journal'!$AA$6:$AA$505,"&gt;"&amp;3,'Journal'!$AA$6:$AA$505,"&lt;="&amp;999)</f>
        <v/>
      </c>
      <c r="D202" s="147">
        <f>IF('Analyse'!$C$12=0,0,C202/'Analyse'!$C$12)</f>
        <v/>
      </c>
    </row>
  </sheetData>
  <mergeCells count="90">
    <mergeCell ref="G21:H21"/>
    <mergeCell ref="D11:F11"/>
    <mergeCell ref="G23:H23"/>
    <mergeCell ref="D28:F28"/>
    <mergeCell ref="D37:F37"/>
    <mergeCell ref="D12:F12"/>
    <mergeCell ref="D9:F9"/>
    <mergeCell ref="D30:F30"/>
    <mergeCell ref="G18:H18"/>
    <mergeCell ref="D39:F39"/>
    <mergeCell ref="G34:H34"/>
    <mergeCell ref="D14:F14"/>
    <mergeCell ref="D29:F29"/>
    <mergeCell ref="D23:F23"/>
    <mergeCell ref="G20:H20"/>
    <mergeCell ref="G44:H44"/>
    <mergeCell ref="G22:H22"/>
    <mergeCell ref="G12:H12"/>
    <mergeCell ref="D27:F27"/>
    <mergeCell ref="D41:F41"/>
    <mergeCell ref="B6:H6"/>
    <mergeCell ref="D17:F17"/>
    <mergeCell ref="D43:F43"/>
    <mergeCell ref="B160:H160"/>
    <mergeCell ref="B79:H79"/>
    <mergeCell ref="G7:H7"/>
    <mergeCell ref="G38:H38"/>
    <mergeCell ref="B144:H144"/>
    <mergeCell ref="P2:Q2"/>
    <mergeCell ref="D25:F25"/>
    <mergeCell ref="B96:H96"/>
    <mergeCell ref="G24:H24"/>
    <mergeCell ref="G33:H33"/>
    <mergeCell ref="B176:H176"/>
    <mergeCell ref="G26:H26"/>
    <mergeCell ref="G35:H35"/>
    <mergeCell ref="G16:H16"/>
    <mergeCell ref="D31:F31"/>
    <mergeCell ref="G25:H25"/>
    <mergeCell ref="D40:F40"/>
    <mergeCell ref="D21:F21"/>
    <mergeCell ref="G9:H9"/>
    <mergeCell ref="D32:F32"/>
    <mergeCell ref="G11:H11"/>
    <mergeCell ref="G42:H42"/>
    <mergeCell ref="D7:F7"/>
    <mergeCell ref="D16:F16"/>
    <mergeCell ref="G39:H39"/>
    <mergeCell ref="B85:H85"/>
    <mergeCell ref="D18:F18"/>
    <mergeCell ref="G37:H37"/>
    <mergeCell ref="B47:H47"/>
    <mergeCell ref="G13:H13"/>
    <mergeCell ref="D8:F8"/>
    <mergeCell ref="D33:F33"/>
    <mergeCell ref="D42:F42"/>
    <mergeCell ref="G15:H15"/>
    <mergeCell ref="D35:F35"/>
    <mergeCell ref="D44:F44"/>
    <mergeCell ref="D20:F20"/>
    <mergeCell ref="D34:F34"/>
    <mergeCell ref="G32:H32"/>
    <mergeCell ref="D22:F22"/>
    <mergeCell ref="G41:H41"/>
    <mergeCell ref="D36:F36"/>
    <mergeCell ref="B128:H128"/>
    <mergeCell ref="G43:H43"/>
    <mergeCell ref="D13:F13"/>
    <mergeCell ref="G27:H27"/>
    <mergeCell ref="G36:H36"/>
    <mergeCell ref="G8:H8"/>
    <mergeCell ref="G17:H17"/>
    <mergeCell ref="B63:H63"/>
    <mergeCell ref="G10:H10"/>
    <mergeCell ref="G19:H19"/>
    <mergeCell ref="G28:H28"/>
    <mergeCell ref="D15:F15"/>
    <mergeCell ref="D24:F24"/>
    <mergeCell ref="B193:H193"/>
    <mergeCell ref="D38:F38"/>
    <mergeCell ref="G30:H30"/>
    <mergeCell ref="D26:F26"/>
    <mergeCell ref="G14:H14"/>
    <mergeCell ref="D10:F10"/>
    <mergeCell ref="G29:H29"/>
    <mergeCell ref="D19:F19"/>
    <mergeCell ref="B182:H182"/>
    <mergeCell ref="G31:H31"/>
    <mergeCell ref="B112:H112"/>
    <mergeCell ref="G40:H40"/>
  </mergeCells>
  <conditionalFormatting sqref="G8:G44">
    <cfRule type="cellIs" priority="1" operator="equal" dxfId="8">
      <formula>"Solide"</formula>
    </cfRule>
    <cfRule type="cellIs" priority="2" operator="equal" dxfId="13">
      <formula>"Correct"</formula>
    </cfRule>
    <cfRule type="cellIs" priority="3" operator="equal" dxfId="9">
      <formula>"À améliorer"</formula>
    </cfRule>
  </conditionalFormatting>
  <conditionalFormatting sqref="C9">
    <cfRule type="cellIs" priority="4" operator="lessThan" dxfId="6">
      <formula>0</formula>
    </cfRule>
    <cfRule type="cellIs" priority="5" operator="greaterThan" dxfId="7">
      <formula>0</formula>
    </cfRule>
  </conditionalFormatting>
  <conditionalFormatting sqref="C23">
    <cfRule type="cellIs" priority="6" operator="lessThan" dxfId="6">
      <formula>0</formula>
    </cfRule>
    <cfRule type="cellIs" priority="7" operator="greaterThan" dxfId="7">
      <formula>0</formula>
    </cfRule>
  </conditionalFormatting>
  <conditionalFormatting sqref="C26">
    <cfRule type="cellIs" priority="8" operator="lessThan" dxfId="6">
      <formula>0</formula>
    </cfRule>
    <cfRule type="cellIs" priority="9" operator="greaterThan" dxfId="7">
      <formula>0</formula>
    </cfRule>
  </conditionalFormatting>
  <conditionalFormatting sqref="C27">
    <cfRule type="cellIs" priority="10" operator="lessThan" dxfId="6">
      <formula>0</formula>
    </cfRule>
    <cfRule type="cellIs" priority="11" operator="greaterThan" dxfId="7">
      <formula>0</formula>
    </cfRule>
  </conditionalFormatting>
  <conditionalFormatting sqref="C11">
    <cfRule type="cellIs" priority="12" operator="lessThan" dxfId="6">
      <formula>0</formula>
    </cfRule>
    <cfRule type="cellIs" priority="13" operator="greaterThan" dxfId="7">
      <formula>0</formula>
    </cfRule>
  </conditionalFormatting>
  <conditionalFormatting sqref="C24">
    <cfRule type="cellIs" priority="14" operator="lessThan" dxfId="6">
      <formula>0</formula>
    </cfRule>
    <cfRule type="cellIs" priority="15" operator="greaterThan" dxfId="7">
      <formula>0</formula>
    </cfRule>
  </conditionalFormatting>
  <conditionalFormatting sqref="E49:E58">
    <cfRule type="cellIs" priority="16" operator="lessThan" dxfId="6">
      <formula>0</formula>
    </cfRule>
    <cfRule type="cellIs" priority="17" operator="greaterThan" dxfId="7">
      <formula>0</formula>
    </cfRule>
  </conditionalFormatting>
  <conditionalFormatting sqref="F49:F58">
    <cfRule type="cellIs" priority="18" operator="lessThan" dxfId="6">
      <formula>0</formula>
    </cfRule>
    <cfRule type="cellIs" priority="19" operator="greaterThan" dxfId="7">
      <formula>0</formula>
    </cfRule>
  </conditionalFormatting>
  <conditionalFormatting sqref="H49:H58">
    <cfRule type="cellIs" priority="20" operator="lessThan" dxfId="6">
      <formula>0</formula>
    </cfRule>
    <cfRule type="cellIs" priority="21" operator="greaterThan" dxfId="7">
      <formula>0</formula>
    </cfRule>
  </conditionalFormatting>
  <conditionalFormatting sqref="E65:E76">
    <cfRule type="cellIs" priority="22" operator="lessThan" dxfId="6">
      <formula>0</formula>
    </cfRule>
    <cfRule type="cellIs" priority="23" operator="greaterThan" dxfId="7">
      <formula>0</formula>
    </cfRule>
  </conditionalFormatting>
  <conditionalFormatting sqref="F65:F76">
    <cfRule type="cellIs" priority="24" operator="lessThan" dxfId="6">
      <formula>0</formula>
    </cfRule>
    <cfRule type="cellIs" priority="25" operator="greaterThan" dxfId="7">
      <formula>0</formula>
    </cfRule>
  </conditionalFormatting>
  <conditionalFormatting sqref="H65:H76">
    <cfRule type="cellIs" priority="26" operator="lessThan" dxfId="6">
      <formula>0</formula>
    </cfRule>
    <cfRule type="cellIs" priority="27" operator="greaterThan" dxfId="7">
      <formula>0</formula>
    </cfRule>
  </conditionalFormatting>
  <conditionalFormatting sqref="E81:E82">
    <cfRule type="cellIs" priority="28" operator="lessThan" dxfId="6">
      <formula>0</formula>
    </cfRule>
    <cfRule type="cellIs" priority="29" operator="greaterThan" dxfId="7">
      <formula>0</formula>
    </cfRule>
  </conditionalFormatting>
  <conditionalFormatting sqref="F81:F82">
    <cfRule type="cellIs" priority="30" operator="lessThan" dxfId="6">
      <formula>0</formula>
    </cfRule>
    <cfRule type="cellIs" priority="31" operator="greaterThan" dxfId="7">
      <formula>0</formula>
    </cfRule>
  </conditionalFormatting>
  <conditionalFormatting sqref="H81:H82">
    <cfRule type="cellIs" priority="32" operator="lessThan" dxfId="6">
      <formula>0</formula>
    </cfRule>
    <cfRule type="cellIs" priority="33" operator="greaterThan" dxfId="7">
      <formula>0</formula>
    </cfRule>
  </conditionalFormatting>
  <conditionalFormatting sqref="E87:E93">
    <cfRule type="cellIs" priority="34" operator="lessThan" dxfId="6">
      <formula>0</formula>
    </cfRule>
    <cfRule type="cellIs" priority="35" operator="greaterThan" dxfId="7">
      <formula>0</formula>
    </cfRule>
  </conditionalFormatting>
  <conditionalFormatting sqref="F87:F93">
    <cfRule type="cellIs" priority="36" operator="lessThan" dxfId="6">
      <formula>0</formula>
    </cfRule>
    <cfRule type="cellIs" priority="37" operator="greaterThan" dxfId="7">
      <formula>0</formula>
    </cfRule>
  </conditionalFormatting>
  <conditionalFormatting sqref="H87:H93">
    <cfRule type="cellIs" priority="38" operator="lessThan" dxfId="6">
      <formula>0</formula>
    </cfRule>
    <cfRule type="cellIs" priority="39" operator="greaterThan" dxfId="7">
      <formula>0</formula>
    </cfRule>
  </conditionalFormatting>
  <conditionalFormatting sqref="E98:E104">
    <cfRule type="cellIs" priority="40" operator="lessThan" dxfId="6">
      <formula>0</formula>
    </cfRule>
    <cfRule type="cellIs" priority="41" operator="greaterThan" dxfId="7">
      <formula>0</formula>
    </cfRule>
  </conditionalFormatting>
  <conditionalFormatting sqref="F98:F104">
    <cfRule type="cellIs" priority="42" operator="lessThan" dxfId="6">
      <formula>0</formula>
    </cfRule>
    <cfRule type="cellIs" priority="43" operator="greaterThan" dxfId="7">
      <formula>0</formula>
    </cfRule>
  </conditionalFormatting>
  <conditionalFormatting sqref="H98:H104">
    <cfRule type="cellIs" priority="44" operator="lessThan" dxfId="6">
      <formula>0</formula>
    </cfRule>
    <cfRule type="cellIs" priority="45" operator="greaterThan" dxfId="7">
      <formula>0</formula>
    </cfRule>
  </conditionalFormatting>
  <conditionalFormatting sqref="E114:E125">
    <cfRule type="cellIs" priority="46" operator="lessThan" dxfId="6">
      <formula>0</formula>
    </cfRule>
    <cfRule type="cellIs" priority="47" operator="greaterThan" dxfId="7">
      <formula>0</formula>
    </cfRule>
  </conditionalFormatting>
  <conditionalFormatting sqref="F114:F125">
    <cfRule type="cellIs" priority="48" operator="lessThan" dxfId="6">
      <formula>0</formula>
    </cfRule>
    <cfRule type="cellIs" priority="49" operator="greaterThan" dxfId="7">
      <formula>0</formula>
    </cfRule>
  </conditionalFormatting>
  <conditionalFormatting sqref="H114:H125">
    <cfRule type="cellIs" priority="50" operator="lessThan" dxfId="6">
      <formula>0</formula>
    </cfRule>
    <cfRule type="cellIs" priority="51" operator="greaterThan" dxfId="7">
      <formula>0</formula>
    </cfRule>
  </conditionalFormatting>
  <conditionalFormatting sqref="E130:E138">
    <cfRule type="cellIs" priority="52" operator="lessThan" dxfId="6">
      <formula>0</formula>
    </cfRule>
    <cfRule type="cellIs" priority="53" operator="greaterThan" dxfId="7">
      <formula>0</formula>
    </cfRule>
  </conditionalFormatting>
  <conditionalFormatting sqref="F130:F138">
    <cfRule type="cellIs" priority="54" operator="lessThan" dxfId="6">
      <formula>0</formula>
    </cfRule>
    <cfRule type="cellIs" priority="55" operator="greaterThan" dxfId="7">
      <formula>0</formula>
    </cfRule>
  </conditionalFormatting>
  <conditionalFormatting sqref="H130:H138">
    <cfRule type="cellIs" priority="56" operator="lessThan" dxfId="6">
      <formula>0</formula>
    </cfRule>
    <cfRule type="cellIs" priority="57" operator="greaterThan" dxfId="7">
      <formula>0</formula>
    </cfRule>
  </conditionalFormatting>
  <conditionalFormatting sqref="E146:E153">
    <cfRule type="cellIs" priority="58" operator="lessThan" dxfId="6">
      <formula>0</formula>
    </cfRule>
    <cfRule type="cellIs" priority="59" operator="greaterThan" dxfId="7">
      <formula>0</formula>
    </cfRule>
  </conditionalFormatting>
  <conditionalFormatting sqref="F146:F153">
    <cfRule type="cellIs" priority="60" operator="lessThan" dxfId="6">
      <formula>0</formula>
    </cfRule>
    <cfRule type="cellIs" priority="61" operator="greaterThan" dxfId="7">
      <formula>0</formula>
    </cfRule>
  </conditionalFormatting>
  <conditionalFormatting sqref="H146:H153">
    <cfRule type="cellIs" priority="62" operator="lessThan" dxfId="6">
      <formula>0</formula>
    </cfRule>
    <cfRule type="cellIs" priority="63" operator="greaterThan" dxfId="7">
      <formula>0</formula>
    </cfRule>
  </conditionalFormatting>
  <conditionalFormatting sqref="E162:E173">
    <cfRule type="cellIs" priority="64" operator="lessThan" dxfId="6">
      <formula>0</formula>
    </cfRule>
    <cfRule type="cellIs" priority="65" operator="greaterThan" dxfId="7">
      <formula>0</formula>
    </cfRule>
  </conditionalFormatting>
  <conditionalFormatting sqref="F162:F173">
    <cfRule type="cellIs" priority="66" operator="lessThan" dxfId="6">
      <formula>0</formula>
    </cfRule>
    <cfRule type="cellIs" priority="67" operator="greaterThan" dxfId="7">
      <formula>0</formula>
    </cfRule>
  </conditionalFormatting>
  <conditionalFormatting sqref="H162:H173">
    <cfRule type="cellIs" priority="68" operator="lessThan" dxfId="6">
      <formula>0</formula>
    </cfRule>
    <cfRule type="cellIs" priority="69" operator="greaterThan" dxfId="7">
      <formula>0</formula>
    </cfRule>
  </conditionalFormatting>
  <conditionalFormatting sqref="E178:E179">
    <cfRule type="cellIs" priority="70" operator="lessThan" dxfId="6">
      <formula>0</formula>
    </cfRule>
    <cfRule type="cellIs" priority="71" operator="greaterThan" dxfId="7">
      <formula>0</formula>
    </cfRule>
  </conditionalFormatting>
  <conditionalFormatting sqref="F178:F179">
    <cfRule type="cellIs" priority="72" operator="lessThan" dxfId="6">
      <formula>0</formula>
    </cfRule>
    <cfRule type="cellIs" priority="73" operator="greaterThan" dxfId="7">
      <formula>0</formula>
    </cfRule>
  </conditionalFormatting>
  <conditionalFormatting sqref="H178:H179">
    <cfRule type="cellIs" priority="74" operator="lessThan" dxfId="6">
      <formula>0</formula>
    </cfRule>
    <cfRule type="cellIs" priority="75" operator="greaterThan" dxfId="7">
      <formula>0</formula>
    </cfRule>
  </conditionalFormatting>
  <conditionalFormatting sqref="E184:E188">
    <cfRule type="cellIs" priority="76" operator="lessThan" dxfId="6">
      <formula>0</formula>
    </cfRule>
    <cfRule type="cellIs" priority="77" operator="greaterThan" dxfId="7">
      <formula>0</formula>
    </cfRule>
  </conditionalFormatting>
  <conditionalFormatting sqref="F184:F188">
    <cfRule type="cellIs" priority="78" operator="lessThan" dxfId="6">
      <formula>0</formula>
    </cfRule>
    <cfRule type="cellIs" priority="79" operator="greaterThan" dxfId="7">
      <formula>0</formula>
    </cfRule>
  </conditionalFormatting>
  <conditionalFormatting sqref="H184:H188">
    <cfRule type="cellIs" priority="80" operator="lessThan" dxfId="6">
      <formula>0</formula>
    </cfRule>
    <cfRule type="cellIs" priority="81" operator="greaterThan" dxfId="7">
      <formula>0</formula>
    </cfRule>
  </conditionalFormatting>
  <hyperlinks>
    <hyperlink ref="P2" location="'Accueil'!A1" display="Accueil"/>
  </hyperlinks>
  <printOptions horizontalCentered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tabColor rgb="003B82F6"/>
    <outlinePr summaryBelow="1" summaryRight="1"/>
    <pageSetUpPr fitToPage="1"/>
  </sheetPr>
  <dimension ref="A1:T61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9" customWidth="1" min="2" max="2"/>
    <col width="13" customWidth="1" min="3" max="3"/>
    <col width="15" customWidth="1" min="4" max="4"/>
    <col width="13" customWidth="1" min="5" max="5"/>
    <col width="14" customWidth="1" min="6" max="6"/>
    <col width="15" customWidth="1" min="7" max="7"/>
    <col width="13" customWidth="1" min="8" max="8"/>
    <col width="14" customWidth="1" min="9" max="9"/>
    <col width="14" customWidth="1" min="10" max="10"/>
    <col width="3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2" customWidth="1" min="20" max="20"/>
  </cols>
  <sheetData>
    <row r="1" ht="22" customHeight="1">
      <c r="A1" s="1" t="n"/>
      <c r="B1" s="2">
        <f>'Paramètres'!$C$7</f>
        <v/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</row>
    <row r="2" ht="30" customHeight="1">
      <c r="A2" s="1" t="n"/>
      <c r="B2" s="32" t="inlineStr">
        <is>
          <t>Objectifs &amp; projection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33" t="inlineStr">
        <is>
          <t>← Accueil</t>
        </is>
      </c>
      <c r="S2" s="1" t="n"/>
      <c r="T2" s="1" t="n"/>
    </row>
    <row r="3" ht="18" customHeight="1">
      <c r="A3" s="1" t="n"/>
      <c r="B3" s="4" t="inlineStr">
        <is>
          <t>Projette la croissance de ton capital et compare le réel au plan.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  <c r="P4" s="5" t="n"/>
      <c r="Q4" s="5" t="n"/>
      <c r="R4" s="5" t="n"/>
      <c r="S4" s="5" t="n"/>
      <c r="T4" s="5" t="n"/>
    </row>
    <row r="6" ht="24" customHeight="1">
      <c r="B6" s="19" t="inlineStr">
        <is>
          <t>PARAMÈTRES DU PLAN</t>
        </is>
      </c>
      <c r="C6" s="20" t="n"/>
      <c r="D6" s="20" t="n"/>
      <c r="E6" s="20" t="n"/>
      <c r="F6" s="20" t="n"/>
      <c r="G6" s="20" t="n"/>
      <c r="H6" s="20" t="n"/>
      <c r="I6" s="20" t="n"/>
      <c r="J6" s="20" t="n"/>
    </row>
    <row r="7" ht="22" customHeight="1">
      <c r="B7" s="118" t="inlineStr">
        <is>
          <t>Capital de départ</t>
        </is>
      </c>
      <c r="C7" s="118" t="n"/>
      <c r="D7" s="118" t="n"/>
      <c r="E7" s="156">
        <f>'Paramètres'!$C$9</f>
        <v/>
      </c>
      <c r="F7" s="156" t="n"/>
    </row>
    <row r="8" ht="22" customHeight="1">
      <c r="B8" s="118" t="inlineStr">
        <is>
          <t>Objectif de capital</t>
        </is>
      </c>
      <c r="C8" s="118" t="n"/>
      <c r="D8" s="118" t="n"/>
      <c r="E8" s="156">
        <f>'Paramètres'!$C$10</f>
        <v/>
      </c>
      <c r="F8" s="156" t="n"/>
    </row>
    <row r="9" ht="22" customHeight="1">
      <c r="B9" s="118" t="inlineStr">
        <is>
          <t>Rendement mensuel visé</t>
        </is>
      </c>
      <c r="C9" s="118" t="n"/>
      <c r="D9" s="118" t="n"/>
      <c r="E9" s="157">
        <f>'Paramètres'!$C$13</f>
        <v/>
      </c>
      <c r="F9" s="157" t="n"/>
    </row>
    <row r="10" ht="22" customHeight="1">
      <c r="B10" s="118" t="inlineStr">
        <is>
          <t>Apport mensuel</t>
        </is>
      </c>
      <c r="C10" s="118" t="n"/>
      <c r="D10" s="118" t="n"/>
      <c r="E10" s="156">
        <f>'Paramètres'!$C$14</f>
        <v/>
      </c>
      <c r="F10" s="156" t="n"/>
    </row>
    <row r="11" ht="22" customHeight="1">
      <c r="B11" s="118" t="inlineStr">
        <is>
          <t>Mois nécessaires pour atteindre l'objectif</t>
        </is>
      </c>
      <c r="C11" s="118" t="n"/>
      <c r="D11" s="118" t="n"/>
      <c r="E11" s="127">
        <f>IFERROR(IF('Paramètres'!$C$9&gt;='Paramètres'!$C$10,0,ROUNDUP(NPER('Paramètres'!$C$13,-'Paramètres'!$C$14,-'Paramètres'!$C$9,'Paramètres'!$C$10),0)),"Inatteignable")</f>
        <v/>
      </c>
      <c r="F11" s="127" t="n"/>
    </row>
    <row r="12" ht="22" customHeight="1">
      <c r="B12" s="118" t="inlineStr">
        <is>
          <t>Date estimée d'atteinte</t>
        </is>
      </c>
      <c r="C12" s="118" t="n"/>
      <c r="D12" s="118" t="n"/>
      <c r="E12" s="158">
        <f>IFERROR(EDATE('Paramètres'!$C$11,E11),"—")</f>
        <v/>
      </c>
      <c r="F12" s="158" t="n"/>
    </row>
    <row r="13" ht="22" customHeight="1">
      <c r="B13" s="118" t="inlineStr">
        <is>
          <t>Capital actuel (réel)</t>
        </is>
      </c>
      <c r="C13" s="118" t="n"/>
      <c r="D13" s="118" t="n"/>
      <c r="E13" s="119">
        <f>'Analyse'!$C$10</f>
        <v/>
      </c>
      <c r="F13" s="119" t="n"/>
    </row>
    <row r="14" ht="22" customHeight="1">
      <c r="B14" s="118" t="inlineStr">
        <is>
          <t>Progression réelle</t>
        </is>
      </c>
      <c r="C14" s="118" t="n"/>
      <c r="D14" s="118" t="n"/>
      <c r="E14" s="159">
        <f>IFERROR(MAX(0,MIN(1,('Analyse'!$C$10-'Paramètres'!$C$9)/('Paramètres'!$C$10-'Paramètres'!$C$9))),0)</f>
        <v/>
      </c>
      <c r="F14" s="159" t="n"/>
    </row>
    <row r="15" ht="22" customHeight="1">
      <c r="B15" s="118" t="inlineStr">
        <is>
          <t>Reste à gagner</t>
        </is>
      </c>
      <c r="C15" s="118" t="n"/>
      <c r="D15" s="118" t="n"/>
      <c r="E15" s="119">
        <f>MAX(0,'Paramètres'!$C$10-'Analyse'!$C$10)</f>
        <v/>
      </c>
      <c r="F15" s="119" t="n"/>
    </row>
    <row r="17" ht="24" customHeight="1">
      <c r="B17" s="54" t="inlineStr">
        <is>
          <t>PALIERS</t>
        </is>
      </c>
      <c r="C17" s="55" t="n"/>
      <c r="D17" s="55" t="n"/>
      <c r="E17" s="55" t="n"/>
      <c r="F17" s="55" t="n"/>
      <c r="G17" s="55" t="n"/>
      <c r="H17" s="55" t="n"/>
      <c r="I17" s="55" t="n"/>
      <c r="J17" s="55" t="n"/>
    </row>
    <row r="18">
      <c r="B18" s="160" t="inlineStr">
        <is>
          <t>Palier</t>
        </is>
      </c>
      <c r="C18" s="160" t="n"/>
      <c r="D18" s="160" t="inlineStr">
        <is>
          <t>Capital cible</t>
        </is>
      </c>
      <c r="E18" s="160" t="n"/>
      <c r="F18" s="160" t="inlineStr">
        <is>
          <t>Statut</t>
        </is>
      </c>
      <c r="G18" s="160" t="n"/>
    </row>
    <row r="19" ht="21" customHeight="1">
      <c r="B19" s="161" t="n">
        <v>0.25</v>
      </c>
      <c r="C19" s="161" t="n"/>
      <c r="D19" s="88">
        <f>'Paramètres'!$C$9+B19*('Paramètres'!$C$10-'Paramètres'!$C$9)</f>
        <v/>
      </c>
      <c r="E19" s="88" t="n"/>
      <c r="F19" s="162">
        <f>IF('Analyse'!$C$10&gt;=D19,"Atteint ✓","En cours")</f>
        <v/>
      </c>
      <c r="G19" s="162" t="n"/>
    </row>
    <row r="20" ht="21" customHeight="1">
      <c r="B20" s="161" t="n">
        <v>0.5</v>
      </c>
      <c r="C20" s="161" t="n"/>
      <c r="D20" s="88">
        <f>'Paramètres'!$C$9+B20*('Paramètres'!$C$10-'Paramètres'!$C$9)</f>
        <v/>
      </c>
      <c r="E20" s="88" t="n"/>
      <c r="F20" s="162">
        <f>IF('Analyse'!$C$10&gt;=D20,"Atteint ✓","En cours")</f>
        <v/>
      </c>
      <c r="G20" s="162" t="n"/>
    </row>
    <row r="21" ht="21" customHeight="1">
      <c r="B21" s="161" t="n">
        <v>0.75</v>
      </c>
      <c r="C21" s="161" t="n"/>
      <c r="D21" s="88">
        <f>'Paramètres'!$C$9+B21*('Paramètres'!$C$10-'Paramètres'!$C$9)</f>
        <v/>
      </c>
      <c r="E21" s="88" t="n"/>
      <c r="F21" s="162">
        <f>IF('Analyse'!$C$10&gt;=D21,"Atteint ✓","En cours")</f>
        <v/>
      </c>
      <c r="G21" s="162" t="n"/>
    </row>
    <row r="22" ht="21" customHeight="1">
      <c r="B22" s="161" t="n">
        <v>1</v>
      </c>
      <c r="C22" s="161" t="n"/>
      <c r="D22" s="88">
        <f>'Paramètres'!$C$9+B22*('Paramètres'!$C$10-'Paramètres'!$C$9)</f>
        <v/>
      </c>
      <c r="E22" s="88" t="n"/>
      <c r="F22" s="162">
        <f>IF('Analyse'!$C$10&gt;=D22,"Atteint ✓","En cours")</f>
        <v/>
      </c>
      <c r="G22" s="162" t="n"/>
    </row>
    <row r="24" ht="24" customHeight="1">
      <c r="B24" s="14" t="inlineStr">
        <is>
          <t>PLAN MENSUEL · PROJECTION SUR 36 MOIS</t>
        </is>
      </c>
      <c r="C24" s="15" t="n"/>
      <c r="D24" s="15" t="n"/>
      <c r="E24" s="15" t="n"/>
      <c r="F24" s="15" t="n"/>
      <c r="G24" s="15" t="n"/>
      <c r="H24" s="15" t="n"/>
      <c r="I24" s="15" t="n"/>
      <c r="J24" s="15" t="n"/>
    </row>
    <row r="25" ht="30" customHeight="1">
      <c r="B25" s="83" t="inlineStr">
        <is>
          <t>Mois</t>
        </is>
      </c>
      <c r="C25" s="83" t="inlineStr">
        <is>
          <t>Date</t>
        </is>
      </c>
      <c r="D25" s="83" t="inlineStr">
        <is>
          <t>Capital début</t>
        </is>
      </c>
      <c r="E25" s="83" t="inlineStr">
        <is>
          <t>Apport</t>
        </is>
      </c>
      <c r="F25" s="83" t="inlineStr">
        <is>
          <t>Gain visé</t>
        </is>
      </c>
      <c r="G25" s="83" t="inlineStr">
        <is>
          <t>Capital fin</t>
        </is>
      </c>
      <c r="H25" s="83" t="inlineStr">
        <is>
          <t>Objectif</t>
        </is>
      </c>
      <c r="I25" s="83" t="inlineStr">
        <is>
          <t>P&amp;L réel du mois</t>
        </is>
      </c>
      <c r="J25" s="83" t="inlineStr">
        <is>
          <t>P&amp;L visé du mois</t>
        </is>
      </c>
    </row>
    <row r="26" ht="19" customHeight="1">
      <c r="B26" s="109" t="n">
        <v>1</v>
      </c>
      <c r="C26" s="163">
        <f>EDATE('Paramètres'!$C$11,B26-1)</f>
        <v/>
      </c>
      <c r="D26" s="112">
        <f>'Paramètres'!$C$9</f>
        <v/>
      </c>
      <c r="E26" s="112">
        <f>'Paramètres'!$C$14</f>
        <v/>
      </c>
      <c r="F26" s="110">
        <f>D26*'Paramètres'!$C$13</f>
        <v/>
      </c>
      <c r="G26" s="164">
        <f>D26+F26+E26</f>
        <v/>
      </c>
      <c r="H26" s="165">
        <f>'Paramètres'!$C$10</f>
        <v/>
      </c>
      <c r="I26" s="166">
        <f>SUMIFS('Journal'!$X$6:$X$505,'Journal'!$AD$6:$AD$505,"&gt;="&amp;EDATE('Paramètres'!$C$11,B26-1),'Journal'!$AD$6:$AD$505,"&lt;"&amp;EDATE('Paramètres'!$C$11,B26))</f>
        <v/>
      </c>
      <c r="J26" s="110">
        <f>F26</f>
        <v/>
      </c>
    </row>
    <row r="27" ht="19" customHeight="1">
      <c r="B27" s="146" t="n">
        <v>2</v>
      </c>
      <c r="C27" s="167">
        <f>EDATE('Paramètres'!$C$11,B27-1)</f>
        <v/>
      </c>
      <c r="D27" s="168">
        <f>G26</f>
        <v/>
      </c>
      <c r="E27" s="168">
        <f>'Paramètres'!$C$14</f>
        <v/>
      </c>
      <c r="F27" s="169">
        <f>D27*'Paramètres'!$C$13</f>
        <v/>
      </c>
      <c r="G27" s="170">
        <f>D27+F27+E27</f>
        <v/>
      </c>
      <c r="H27" s="171">
        <f>'Paramètres'!$C$10</f>
        <v/>
      </c>
      <c r="I27" s="172">
        <f>SUMIFS('Journal'!$X$6:$X$505,'Journal'!$AD$6:$AD$505,"&gt;="&amp;EDATE('Paramètres'!$C$11,B27-1),'Journal'!$AD$6:$AD$505,"&lt;"&amp;EDATE('Paramètres'!$C$11,B27))</f>
        <v/>
      </c>
      <c r="J27" s="169">
        <f>F27</f>
        <v/>
      </c>
    </row>
    <row r="28" ht="19" customHeight="1">
      <c r="B28" s="109" t="n">
        <v>3</v>
      </c>
      <c r="C28" s="163">
        <f>EDATE('Paramètres'!$C$11,B28-1)</f>
        <v/>
      </c>
      <c r="D28" s="112">
        <f>G27</f>
        <v/>
      </c>
      <c r="E28" s="112">
        <f>'Paramètres'!$C$14</f>
        <v/>
      </c>
      <c r="F28" s="110">
        <f>D28*'Paramètres'!$C$13</f>
        <v/>
      </c>
      <c r="G28" s="164">
        <f>D28+F28+E28</f>
        <v/>
      </c>
      <c r="H28" s="165">
        <f>'Paramètres'!$C$10</f>
        <v/>
      </c>
      <c r="I28" s="166">
        <f>SUMIFS('Journal'!$X$6:$X$505,'Journal'!$AD$6:$AD$505,"&gt;="&amp;EDATE('Paramètres'!$C$11,B28-1),'Journal'!$AD$6:$AD$505,"&lt;"&amp;EDATE('Paramètres'!$C$11,B28))</f>
        <v/>
      </c>
      <c r="J28" s="110">
        <f>F28</f>
        <v/>
      </c>
    </row>
    <row r="29" ht="19" customHeight="1">
      <c r="B29" s="146" t="n">
        <v>4</v>
      </c>
      <c r="C29" s="167">
        <f>EDATE('Paramètres'!$C$11,B29-1)</f>
        <v/>
      </c>
      <c r="D29" s="168">
        <f>G28</f>
        <v/>
      </c>
      <c r="E29" s="168">
        <f>'Paramètres'!$C$14</f>
        <v/>
      </c>
      <c r="F29" s="169">
        <f>D29*'Paramètres'!$C$13</f>
        <v/>
      </c>
      <c r="G29" s="170">
        <f>D29+F29+E29</f>
        <v/>
      </c>
      <c r="H29" s="171">
        <f>'Paramètres'!$C$10</f>
        <v/>
      </c>
      <c r="I29" s="172">
        <f>SUMIFS('Journal'!$X$6:$X$505,'Journal'!$AD$6:$AD$505,"&gt;="&amp;EDATE('Paramètres'!$C$11,B29-1),'Journal'!$AD$6:$AD$505,"&lt;"&amp;EDATE('Paramètres'!$C$11,B29))</f>
        <v/>
      </c>
      <c r="J29" s="169">
        <f>F29</f>
        <v/>
      </c>
    </row>
    <row r="30" ht="19" customHeight="1">
      <c r="B30" s="109" t="n">
        <v>5</v>
      </c>
      <c r="C30" s="163">
        <f>EDATE('Paramètres'!$C$11,B30-1)</f>
        <v/>
      </c>
      <c r="D30" s="112">
        <f>G29</f>
        <v/>
      </c>
      <c r="E30" s="112">
        <f>'Paramètres'!$C$14</f>
        <v/>
      </c>
      <c r="F30" s="110">
        <f>D30*'Paramètres'!$C$13</f>
        <v/>
      </c>
      <c r="G30" s="164">
        <f>D30+F30+E30</f>
        <v/>
      </c>
      <c r="H30" s="165">
        <f>'Paramètres'!$C$10</f>
        <v/>
      </c>
      <c r="I30" s="166">
        <f>SUMIFS('Journal'!$X$6:$X$505,'Journal'!$AD$6:$AD$505,"&gt;="&amp;EDATE('Paramètres'!$C$11,B30-1),'Journal'!$AD$6:$AD$505,"&lt;"&amp;EDATE('Paramètres'!$C$11,B30))</f>
        <v/>
      </c>
      <c r="J30" s="110">
        <f>F30</f>
        <v/>
      </c>
    </row>
    <row r="31" ht="19" customHeight="1">
      <c r="B31" s="146" t="n">
        <v>6</v>
      </c>
      <c r="C31" s="167">
        <f>EDATE('Paramètres'!$C$11,B31-1)</f>
        <v/>
      </c>
      <c r="D31" s="168">
        <f>G30</f>
        <v/>
      </c>
      <c r="E31" s="168">
        <f>'Paramètres'!$C$14</f>
        <v/>
      </c>
      <c r="F31" s="169">
        <f>D31*'Paramètres'!$C$13</f>
        <v/>
      </c>
      <c r="G31" s="170">
        <f>D31+F31+E31</f>
        <v/>
      </c>
      <c r="H31" s="171">
        <f>'Paramètres'!$C$10</f>
        <v/>
      </c>
      <c r="I31" s="172">
        <f>SUMIFS('Journal'!$X$6:$X$505,'Journal'!$AD$6:$AD$505,"&gt;="&amp;EDATE('Paramètres'!$C$11,B31-1),'Journal'!$AD$6:$AD$505,"&lt;"&amp;EDATE('Paramètres'!$C$11,B31))</f>
        <v/>
      </c>
      <c r="J31" s="169">
        <f>F31</f>
        <v/>
      </c>
    </row>
    <row r="32" ht="19" customHeight="1">
      <c r="B32" s="109" t="n">
        <v>7</v>
      </c>
      <c r="C32" s="163">
        <f>EDATE('Paramètres'!$C$11,B32-1)</f>
        <v/>
      </c>
      <c r="D32" s="112">
        <f>G31</f>
        <v/>
      </c>
      <c r="E32" s="112">
        <f>'Paramètres'!$C$14</f>
        <v/>
      </c>
      <c r="F32" s="110">
        <f>D32*'Paramètres'!$C$13</f>
        <v/>
      </c>
      <c r="G32" s="164">
        <f>D32+F32+E32</f>
        <v/>
      </c>
      <c r="H32" s="165">
        <f>'Paramètres'!$C$10</f>
        <v/>
      </c>
      <c r="I32" s="166">
        <f>SUMIFS('Journal'!$X$6:$X$505,'Journal'!$AD$6:$AD$505,"&gt;="&amp;EDATE('Paramètres'!$C$11,B32-1),'Journal'!$AD$6:$AD$505,"&lt;"&amp;EDATE('Paramètres'!$C$11,B32))</f>
        <v/>
      </c>
      <c r="J32" s="110">
        <f>F32</f>
        <v/>
      </c>
    </row>
    <row r="33" ht="19" customHeight="1">
      <c r="B33" s="146" t="n">
        <v>8</v>
      </c>
      <c r="C33" s="167">
        <f>EDATE('Paramètres'!$C$11,B33-1)</f>
        <v/>
      </c>
      <c r="D33" s="168">
        <f>G32</f>
        <v/>
      </c>
      <c r="E33" s="168">
        <f>'Paramètres'!$C$14</f>
        <v/>
      </c>
      <c r="F33" s="169">
        <f>D33*'Paramètres'!$C$13</f>
        <v/>
      </c>
      <c r="G33" s="170">
        <f>D33+F33+E33</f>
        <v/>
      </c>
      <c r="H33" s="171">
        <f>'Paramètres'!$C$10</f>
        <v/>
      </c>
      <c r="I33" s="172">
        <f>SUMIFS('Journal'!$X$6:$X$505,'Journal'!$AD$6:$AD$505,"&gt;="&amp;EDATE('Paramètres'!$C$11,B33-1),'Journal'!$AD$6:$AD$505,"&lt;"&amp;EDATE('Paramètres'!$C$11,B33))</f>
        <v/>
      </c>
      <c r="J33" s="169">
        <f>F33</f>
        <v/>
      </c>
    </row>
    <row r="34" ht="19" customHeight="1">
      <c r="B34" s="109" t="n">
        <v>9</v>
      </c>
      <c r="C34" s="163">
        <f>EDATE('Paramètres'!$C$11,B34-1)</f>
        <v/>
      </c>
      <c r="D34" s="112">
        <f>G33</f>
        <v/>
      </c>
      <c r="E34" s="112">
        <f>'Paramètres'!$C$14</f>
        <v/>
      </c>
      <c r="F34" s="110">
        <f>D34*'Paramètres'!$C$13</f>
        <v/>
      </c>
      <c r="G34" s="164">
        <f>D34+F34+E34</f>
        <v/>
      </c>
      <c r="H34" s="165">
        <f>'Paramètres'!$C$10</f>
        <v/>
      </c>
      <c r="I34" s="166">
        <f>SUMIFS('Journal'!$X$6:$X$505,'Journal'!$AD$6:$AD$505,"&gt;="&amp;EDATE('Paramètres'!$C$11,B34-1),'Journal'!$AD$6:$AD$505,"&lt;"&amp;EDATE('Paramètres'!$C$11,B34))</f>
        <v/>
      </c>
      <c r="J34" s="110">
        <f>F34</f>
        <v/>
      </c>
    </row>
    <row r="35" ht="19" customHeight="1">
      <c r="B35" s="146" t="n">
        <v>10</v>
      </c>
      <c r="C35" s="167">
        <f>EDATE('Paramètres'!$C$11,B35-1)</f>
        <v/>
      </c>
      <c r="D35" s="168">
        <f>G34</f>
        <v/>
      </c>
      <c r="E35" s="168">
        <f>'Paramètres'!$C$14</f>
        <v/>
      </c>
      <c r="F35" s="169">
        <f>D35*'Paramètres'!$C$13</f>
        <v/>
      </c>
      <c r="G35" s="170">
        <f>D35+F35+E35</f>
        <v/>
      </c>
      <c r="H35" s="171">
        <f>'Paramètres'!$C$10</f>
        <v/>
      </c>
      <c r="I35" s="172">
        <f>SUMIFS('Journal'!$X$6:$X$505,'Journal'!$AD$6:$AD$505,"&gt;="&amp;EDATE('Paramètres'!$C$11,B35-1),'Journal'!$AD$6:$AD$505,"&lt;"&amp;EDATE('Paramètres'!$C$11,B35))</f>
        <v/>
      </c>
      <c r="J35" s="169">
        <f>F35</f>
        <v/>
      </c>
    </row>
    <row r="36" ht="19" customHeight="1">
      <c r="B36" s="109" t="n">
        <v>11</v>
      </c>
      <c r="C36" s="163">
        <f>EDATE('Paramètres'!$C$11,B36-1)</f>
        <v/>
      </c>
      <c r="D36" s="112">
        <f>G35</f>
        <v/>
      </c>
      <c r="E36" s="112">
        <f>'Paramètres'!$C$14</f>
        <v/>
      </c>
      <c r="F36" s="110">
        <f>D36*'Paramètres'!$C$13</f>
        <v/>
      </c>
      <c r="G36" s="164">
        <f>D36+F36+E36</f>
        <v/>
      </c>
      <c r="H36" s="165">
        <f>'Paramètres'!$C$10</f>
        <v/>
      </c>
      <c r="I36" s="166">
        <f>SUMIFS('Journal'!$X$6:$X$505,'Journal'!$AD$6:$AD$505,"&gt;="&amp;EDATE('Paramètres'!$C$11,B36-1),'Journal'!$AD$6:$AD$505,"&lt;"&amp;EDATE('Paramètres'!$C$11,B36))</f>
        <v/>
      </c>
      <c r="J36" s="110">
        <f>F36</f>
        <v/>
      </c>
    </row>
    <row r="37" ht="19" customHeight="1">
      <c r="B37" s="146" t="n">
        <v>12</v>
      </c>
      <c r="C37" s="167">
        <f>EDATE('Paramètres'!$C$11,B37-1)</f>
        <v/>
      </c>
      <c r="D37" s="168">
        <f>G36</f>
        <v/>
      </c>
      <c r="E37" s="168">
        <f>'Paramètres'!$C$14</f>
        <v/>
      </c>
      <c r="F37" s="169">
        <f>D37*'Paramètres'!$C$13</f>
        <v/>
      </c>
      <c r="G37" s="170">
        <f>D37+F37+E37</f>
        <v/>
      </c>
      <c r="H37" s="171">
        <f>'Paramètres'!$C$10</f>
        <v/>
      </c>
      <c r="I37" s="172">
        <f>SUMIFS('Journal'!$X$6:$X$505,'Journal'!$AD$6:$AD$505,"&gt;="&amp;EDATE('Paramètres'!$C$11,B37-1),'Journal'!$AD$6:$AD$505,"&lt;"&amp;EDATE('Paramètres'!$C$11,B37))</f>
        <v/>
      </c>
      <c r="J37" s="169">
        <f>F37</f>
        <v/>
      </c>
    </row>
    <row r="38" ht="19" customHeight="1">
      <c r="B38" s="109" t="n">
        <v>13</v>
      </c>
      <c r="C38" s="163">
        <f>EDATE('Paramètres'!$C$11,B38-1)</f>
        <v/>
      </c>
      <c r="D38" s="112">
        <f>G37</f>
        <v/>
      </c>
      <c r="E38" s="112">
        <f>'Paramètres'!$C$14</f>
        <v/>
      </c>
      <c r="F38" s="110">
        <f>D38*'Paramètres'!$C$13</f>
        <v/>
      </c>
      <c r="G38" s="164">
        <f>D38+F38+E38</f>
        <v/>
      </c>
      <c r="H38" s="165">
        <f>'Paramètres'!$C$10</f>
        <v/>
      </c>
      <c r="I38" s="166">
        <f>SUMIFS('Journal'!$X$6:$X$505,'Journal'!$AD$6:$AD$505,"&gt;="&amp;EDATE('Paramètres'!$C$11,B38-1),'Journal'!$AD$6:$AD$505,"&lt;"&amp;EDATE('Paramètres'!$C$11,B38))</f>
        <v/>
      </c>
      <c r="J38" s="110">
        <f>F38</f>
        <v/>
      </c>
    </row>
    <row r="39" ht="19" customHeight="1">
      <c r="B39" s="146" t="n">
        <v>14</v>
      </c>
      <c r="C39" s="167">
        <f>EDATE('Paramètres'!$C$11,B39-1)</f>
        <v/>
      </c>
      <c r="D39" s="168">
        <f>G38</f>
        <v/>
      </c>
      <c r="E39" s="168">
        <f>'Paramètres'!$C$14</f>
        <v/>
      </c>
      <c r="F39" s="169">
        <f>D39*'Paramètres'!$C$13</f>
        <v/>
      </c>
      <c r="G39" s="170">
        <f>D39+F39+E39</f>
        <v/>
      </c>
      <c r="H39" s="171">
        <f>'Paramètres'!$C$10</f>
        <v/>
      </c>
      <c r="I39" s="172">
        <f>SUMIFS('Journal'!$X$6:$X$505,'Journal'!$AD$6:$AD$505,"&gt;="&amp;EDATE('Paramètres'!$C$11,B39-1),'Journal'!$AD$6:$AD$505,"&lt;"&amp;EDATE('Paramètres'!$C$11,B39))</f>
        <v/>
      </c>
      <c r="J39" s="169">
        <f>F39</f>
        <v/>
      </c>
    </row>
    <row r="40" ht="19" customHeight="1">
      <c r="B40" s="109" t="n">
        <v>15</v>
      </c>
      <c r="C40" s="163">
        <f>EDATE('Paramètres'!$C$11,B40-1)</f>
        <v/>
      </c>
      <c r="D40" s="112">
        <f>G39</f>
        <v/>
      </c>
      <c r="E40" s="112">
        <f>'Paramètres'!$C$14</f>
        <v/>
      </c>
      <c r="F40" s="110">
        <f>D40*'Paramètres'!$C$13</f>
        <v/>
      </c>
      <c r="G40" s="164">
        <f>D40+F40+E40</f>
        <v/>
      </c>
      <c r="H40" s="165">
        <f>'Paramètres'!$C$10</f>
        <v/>
      </c>
      <c r="I40" s="166">
        <f>SUMIFS('Journal'!$X$6:$X$505,'Journal'!$AD$6:$AD$505,"&gt;="&amp;EDATE('Paramètres'!$C$11,B40-1),'Journal'!$AD$6:$AD$505,"&lt;"&amp;EDATE('Paramètres'!$C$11,B40))</f>
        <v/>
      </c>
      <c r="J40" s="110">
        <f>F40</f>
        <v/>
      </c>
    </row>
    <row r="41" ht="19" customHeight="1">
      <c r="B41" s="146" t="n">
        <v>16</v>
      </c>
      <c r="C41" s="167">
        <f>EDATE('Paramètres'!$C$11,B41-1)</f>
        <v/>
      </c>
      <c r="D41" s="168">
        <f>G40</f>
        <v/>
      </c>
      <c r="E41" s="168">
        <f>'Paramètres'!$C$14</f>
        <v/>
      </c>
      <c r="F41" s="169">
        <f>D41*'Paramètres'!$C$13</f>
        <v/>
      </c>
      <c r="G41" s="170">
        <f>D41+F41+E41</f>
        <v/>
      </c>
      <c r="H41" s="171">
        <f>'Paramètres'!$C$10</f>
        <v/>
      </c>
      <c r="I41" s="172">
        <f>SUMIFS('Journal'!$X$6:$X$505,'Journal'!$AD$6:$AD$505,"&gt;="&amp;EDATE('Paramètres'!$C$11,B41-1),'Journal'!$AD$6:$AD$505,"&lt;"&amp;EDATE('Paramètres'!$C$11,B41))</f>
        <v/>
      </c>
      <c r="J41" s="169">
        <f>F41</f>
        <v/>
      </c>
    </row>
    <row r="42" ht="19" customHeight="1">
      <c r="B42" s="109" t="n">
        <v>17</v>
      </c>
      <c r="C42" s="163">
        <f>EDATE('Paramètres'!$C$11,B42-1)</f>
        <v/>
      </c>
      <c r="D42" s="112">
        <f>G41</f>
        <v/>
      </c>
      <c r="E42" s="112">
        <f>'Paramètres'!$C$14</f>
        <v/>
      </c>
      <c r="F42" s="110">
        <f>D42*'Paramètres'!$C$13</f>
        <v/>
      </c>
      <c r="G42" s="164">
        <f>D42+F42+E42</f>
        <v/>
      </c>
      <c r="H42" s="165">
        <f>'Paramètres'!$C$10</f>
        <v/>
      </c>
      <c r="I42" s="166">
        <f>SUMIFS('Journal'!$X$6:$X$505,'Journal'!$AD$6:$AD$505,"&gt;="&amp;EDATE('Paramètres'!$C$11,B42-1),'Journal'!$AD$6:$AD$505,"&lt;"&amp;EDATE('Paramètres'!$C$11,B42))</f>
        <v/>
      </c>
      <c r="J42" s="110">
        <f>F42</f>
        <v/>
      </c>
    </row>
    <row r="43" ht="19" customHeight="1">
      <c r="B43" s="146" t="n">
        <v>18</v>
      </c>
      <c r="C43" s="167">
        <f>EDATE('Paramètres'!$C$11,B43-1)</f>
        <v/>
      </c>
      <c r="D43" s="168">
        <f>G42</f>
        <v/>
      </c>
      <c r="E43" s="168">
        <f>'Paramètres'!$C$14</f>
        <v/>
      </c>
      <c r="F43" s="169">
        <f>D43*'Paramètres'!$C$13</f>
        <v/>
      </c>
      <c r="G43" s="170">
        <f>D43+F43+E43</f>
        <v/>
      </c>
      <c r="H43" s="171">
        <f>'Paramètres'!$C$10</f>
        <v/>
      </c>
      <c r="I43" s="172">
        <f>SUMIFS('Journal'!$X$6:$X$505,'Journal'!$AD$6:$AD$505,"&gt;="&amp;EDATE('Paramètres'!$C$11,B43-1),'Journal'!$AD$6:$AD$505,"&lt;"&amp;EDATE('Paramètres'!$C$11,B43))</f>
        <v/>
      </c>
      <c r="J43" s="169">
        <f>F43</f>
        <v/>
      </c>
    </row>
    <row r="44" ht="19" customHeight="1">
      <c r="B44" s="109" t="n">
        <v>19</v>
      </c>
      <c r="C44" s="163">
        <f>EDATE('Paramètres'!$C$11,B44-1)</f>
        <v/>
      </c>
      <c r="D44" s="112">
        <f>G43</f>
        <v/>
      </c>
      <c r="E44" s="112">
        <f>'Paramètres'!$C$14</f>
        <v/>
      </c>
      <c r="F44" s="110">
        <f>D44*'Paramètres'!$C$13</f>
        <v/>
      </c>
      <c r="G44" s="164">
        <f>D44+F44+E44</f>
        <v/>
      </c>
      <c r="H44" s="165">
        <f>'Paramètres'!$C$10</f>
        <v/>
      </c>
      <c r="I44" s="166">
        <f>SUMIFS('Journal'!$X$6:$X$505,'Journal'!$AD$6:$AD$505,"&gt;="&amp;EDATE('Paramètres'!$C$11,B44-1),'Journal'!$AD$6:$AD$505,"&lt;"&amp;EDATE('Paramètres'!$C$11,B44))</f>
        <v/>
      </c>
      <c r="J44" s="110">
        <f>F44</f>
        <v/>
      </c>
    </row>
    <row r="45" ht="19" customHeight="1">
      <c r="B45" s="146" t="n">
        <v>20</v>
      </c>
      <c r="C45" s="167">
        <f>EDATE('Paramètres'!$C$11,B45-1)</f>
        <v/>
      </c>
      <c r="D45" s="168">
        <f>G44</f>
        <v/>
      </c>
      <c r="E45" s="168">
        <f>'Paramètres'!$C$14</f>
        <v/>
      </c>
      <c r="F45" s="169">
        <f>D45*'Paramètres'!$C$13</f>
        <v/>
      </c>
      <c r="G45" s="170">
        <f>D45+F45+E45</f>
        <v/>
      </c>
      <c r="H45" s="171">
        <f>'Paramètres'!$C$10</f>
        <v/>
      </c>
      <c r="I45" s="172">
        <f>SUMIFS('Journal'!$X$6:$X$505,'Journal'!$AD$6:$AD$505,"&gt;="&amp;EDATE('Paramètres'!$C$11,B45-1),'Journal'!$AD$6:$AD$505,"&lt;"&amp;EDATE('Paramètres'!$C$11,B45))</f>
        <v/>
      </c>
      <c r="J45" s="169">
        <f>F45</f>
        <v/>
      </c>
    </row>
    <row r="46" ht="19" customHeight="1">
      <c r="B46" s="109" t="n">
        <v>21</v>
      </c>
      <c r="C46" s="163">
        <f>EDATE('Paramètres'!$C$11,B46-1)</f>
        <v/>
      </c>
      <c r="D46" s="112">
        <f>G45</f>
        <v/>
      </c>
      <c r="E46" s="112">
        <f>'Paramètres'!$C$14</f>
        <v/>
      </c>
      <c r="F46" s="110">
        <f>D46*'Paramètres'!$C$13</f>
        <v/>
      </c>
      <c r="G46" s="164">
        <f>D46+F46+E46</f>
        <v/>
      </c>
      <c r="H46" s="165">
        <f>'Paramètres'!$C$10</f>
        <v/>
      </c>
      <c r="I46" s="166">
        <f>SUMIFS('Journal'!$X$6:$X$505,'Journal'!$AD$6:$AD$505,"&gt;="&amp;EDATE('Paramètres'!$C$11,B46-1),'Journal'!$AD$6:$AD$505,"&lt;"&amp;EDATE('Paramètres'!$C$11,B46))</f>
        <v/>
      </c>
      <c r="J46" s="110">
        <f>F46</f>
        <v/>
      </c>
    </row>
    <row r="47" ht="19" customHeight="1">
      <c r="B47" s="146" t="n">
        <v>22</v>
      </c>
      <c r="C47" s="167">
        <f>EDATE('Paramètres'!$C$11,B47-1)</f>
        <v/>
      </c>
      <c r="D47" s="168">
        <f>G46</f>
        <v/>
      </c>
      <c r="E47" s="168">
        <f>'Paramètres'!$C$14</f>
        <v/>
      </c>
      <c r="F47" s="169">
        <f>D47*'Paramètres'!$C$13</f>
        <v/>
      </c>
      <c r="G47" s="170">
        <f>D47+F47+E47</f>
        <v/>
      </c>
      <c r="H47" s="171">
        <f>'Paramètres'!$C$10</f>
        <v/>
      </c>
      <c r="I47" s="172">
        <f>SUMIFS('Journal'!$X$6:$X$505,'Journal'!$AD$6:$AD$505,"&gt;="&amp;EDATE('Paramètres'!$C$11,B47-1),'Journal'!$AD$6:$AD$505,"&lt;"&amp;EDATE('Paramètres'!$C$11,B47))</f>
        <v/>
      </c>
      <c r="J47" s="169">
        <f>F47</f>
        <v/>
      </c>
    </row>
    <row r="48" ht="19" customHeight="1">
      <c r="B48" s="109" t="n">
        <v>23</v>
      </c>
      <c r="C48" s="163">
        <f>EDATE('Paramètres'!$C$11,B48-1)</f>
        <v/>
      </c>
      <c r="D48" s="112">
        <f>G47</f>
        <v/>
      </c>
      <c r="E48" s="112">
        <f>'Paramètres'!$C$14</f>
        <v/>
      </c>
      <c r="F48" s="110">
        <f>D48*'Paramètres'!$C$13</f>
        <v/>
      </c>
      <c r="G48" s="164">
        <f>D48+F48+E48</f>
        <v/>
      </c>
      <c r="H48" s="165">
        <f>'Paramètres'!$C$10</f>
        <v/>
      </c>
      <c r="I48" s="166">
        <f>SUMIFS('Journal'!$X$6:$X$505,'Journal'!$AD$6:$AD$505,"&gt;="&amp;EDATE('Paramètres'!$C$11,B48-1),'Journal'!$AD$6:$AD$505,"&lt;"&amp;EDATE('Paramètres'!$C$11,B48))</f>
        <v/>
      </c>
      <c r="J48" s="110">
        <f>F48</f>
        <v/>
      </c>
    </row>
    <row r="49" ht="19" customHeight="1">
      <c r="B49" s="146" t="n">
        <v>24</v>
      </c>
      <c r="C49" s="167">
        <f>EDATE('Paramètres'!$C$11,B49-1)</f>
        <v/>
      </c>
      <c r="D49" s="168">
        <f>G48</f>
        <v/>
      </c>
      <c r="E49" s="168">
        <f>'Paramètres'!$C$14</f>
        <v/>
      </c>
      <c r="F49" s="169">
        <f>D49*'Paramètres'!$C$13</f>
        <v/>
      </c>
      <c r="G49" s="170">
        <f>D49+F49+E49</f>
        <v/>
      </c>
      <c r="H49" s="171">
        <f>'Paramètres'!$C$10</f>
        <v/>
      </c>
      <c r="I49" s="172">
        <f>SUMIFS('Journal'!$X$6:$X$505,'Journal'!$AD$6:$AD$505,"&gt;="&amp;EDATE('Paramètres'!$C$11,B49-1),'Journal'!$AD$6:$AD$505,"&lt;"&amp;EDATE('Paramètres'!$C$11,B49))</f>
        <v/>
      </c>
      <c r="J49" s="169">
        <f>F49</f>
        <v/>
      </c>
    </row>
    <row r="50" ht="19" customHeight="1">
      <c r="B50" s="109" t="n">
        <v>25</v>
      </c>
      <c r="C50" s="163">
        <f>EDATE('Paramètres'!$C$11,B50-1)</f>
        <v/>
      </c>
      <c r="D50" s="112">
        <f>G49</f>
        <v/>
      </c>
      <c r="E50" s="112">
        <f>'Paramètres'!$C$14</f>
        <v/>
      </c>
      <c r="F50" s="110">
        <f>D50*'Paramètres'!$C$13</f>
        <v/>
      </c>
      <c r="G50" s="164">
        <f>D50+F50+E50</f>
        <v/>
      </c>
      <c r="H50" s="165">
        <f>'Paramètres'!$C$10</f>
        <v/>
      </c>
      <c r="I50" s="166">
        <f>SUMIFS('Journal'!$X$6:$X$505,'Journal'!$AD$6:$AD$505,"&gt;="&amp;EDATE('Paramètres'!$C$11,B50-1),'Journal'!$AD$6:$AD$505,"&lt;"&amp;EDATE('Paramètres'!$C$11,B50))</f>
        <v/>
      </c>
      <c r="J50" s="110">
        <f>F50</f>
        <v/>
      </c>
    </row>
    <row r="51" ht="19" customHeight="1">
      <c r="B51" s="146" t="n">
        <v>26</v>
      </c>
      <c r="C51" s="167">
        <f>EDATE('Paramètres'!$C$11,B51-1)</f>
        <v/>
      </c>
      <c r="D51" s="168">
        <f>G50</f>
        <v/>
      </c>
      <c r="E51" s="168">
        <f>'Paramètres'!$C$14</f>
        <v/>
      </c>
      <c r="F51" s="169">
        <f>D51*'Paramètres'!$C$13</f>
        <v/>
      </c>
      <c r="G51" s="170">
        <f>D51+F51+E51</f>
        <v/>
      </c>
      <c r="H51" s="171">
        <f>'Paramètres'!$C$10</f>
        <v/>
      </c>
      <c r="I51" s="172">
        <f>SUMIFS('Journal'!$X$6:$X$505,'Journal'!$AD$6:$AD$505,"&gt;="&amp;EDATE('Paramètres'!$C$11,B51-1),'Journal'!$AD$6:$AD$505,"&lt;"&amp;EDATE('Paramètres'!$C$11,B51))</f>
        <v/>
      </c>
      <c r="J51" s="169">
        <f>F51</f>
        <v/>
      </c>
    </row>
    <row r="52" ht="19" customHeight="1">
      <c r="B52" s="109" t="n">
        <v>27</v>
      </c>
      <c r="C52" s="163">
        <f>EDATE('Paramètres'!$C$11,B52-1)</f>
        <v/>
      </c>
      <c r="D52" s="112">
        <f>G51</f>
        <v/>
      </c>
      <c r="E52" s="112">
        <f>'Paramètres'!$C$14</f>
        <v/>
      </c>
      <c r="F52" s="110">
        <f>D52*'Paramètres'!$C$13</f>
        <v/>
      </c>
      <c r="G52" s="164">
        <f>D52+F52+E52</f>
        <v/>
      </c>
      <c r="H52" s="165">
        <f>'Paramètres'!$C$10</f>
        <v/>
      </c>
      <c r="I52" s="166">
        <f>SUMIFS('Journal'!$X$6:$X$505,'Journal'!$AD$6:$AD$505,"&gt;="&amp;EDATE('Paramètres'!$C$11,B52-1),'Journal'!$AD$6:$AD$505,"&lt;"&amp;EDATE('Paramètres'!$C$11,B52))</f>
        <v/>
      </c>
      <c r="J52" s="110">
        <f>F52</f>
        <v/>
      </c>
    </row>
    <row r="53" ht="19" customHeight="1">
      <c r="B53" s="146" t="n">
        <v>28</v>
      </c>
      <c r="C53" s="167">
        <f>EDATE('Paramètres'!$C$11,B53-1)</f>
        <v/>
      </c>
      <c r="D53" s="168">
        <f>G52</f>
        <v/>
      </c>
      <c r="E53" s="168">
        <f>'Paramètres'!$C$14</f>
        <v/>
      </c>
      <c r="F53" s="169">
        <f>D53*'Paramètres'!$C$13</f>
        <v/>
      </c>
      <c r="G53" s="170">
        <f>D53+F53+E53</f>
        <v/>
      </c>
      <c r="H53" s="171">
        <f>'Paramètres'!$C$10</f>
        <v/>
      </c>
      <c r="I53" s="172">
        <f>SUMIFS('Journal'!$X$6:$X$505,'Journal'!$AD$6:$AD$505,"&gt;="&amp;EDATE('Paramètres'!$C$11,B53-1),'Journal'!$AD$6:$AD$505,"&lt;"&amp;EDATE('Paramètres'!$C$11,B53))</f>
        <v/>
      </c>
      <c r="J53" s="169">
        <f>F53</f>
        <v/>
      </c>
    </row>
    <row r="54" ht="19" customHeight="1">
      <c r="B54" s="109" t="n">
        <v>29</v>
      </c>
      <c r="C54" s="163">
        <f>EDATE('Paramètres'!$C$11,B54-1)</f>
        <v/>
      </c>
      <c r="D54" s="112">
        <f>G53</f>
        <v/>
      </c>
      <c r="E54" s="112">
        <f>'Paramètres'!$C$14</f>
        <v/>
      </c>
      <c r="F54" s="110">
        <f>D54*'Paramètres'!$C$13</f>
        <v/>
      </c>
      <c r="G54" s="164">
        <f>D54+F54+E54</f>
        <v/>
      </c>
      <c r="H54" s="165">
        <f>'Paramètres'!$C$10</f>
        <v/>
      </c>
      <c r="I54" s="166">
        <f>SUMIFS('Journal'!$X$6:$X$505,'Journal'!$AD$6:$AD$505,"&gt;="&amp;EDATE('Paramètres'!$C$11,B54-1),'Journal'!$AD$6:$AD$505,"&lt;"&amp;EDATE('Paramètres'!$C$11,B54))</f>
        <v/>
      </c>
      <c r="J54" s="110">
        <f>F54</f>
        <v/>
      </c>
    </row>
    <row r="55" ht="19" customHeight="1">
      <c r="B55" s="146" t="n">
        <v>30</v>
      </c>
      <c r="C55" s="167">
        <f>EDATE('Paramètres'!$C$11,B55-1)</f>
        <v/>
      </c>
      <c r="D55" s="168">
        <f>G54</f>
        <v/>
      </c>
      <c r="E55" s="168">
        <f>'Paramètres'!$C$14</f>
        <v/>
      </c>
      <c r="F55" s="169">
        <f>D55*'Paramètres'!$C$13</f>
        <v/>
      </c>
      <c r="G55" s="170">
        <f>D55+F55+E55</f>
        <v/>
      </c>
      <c r="H55" s="171">
        <f>'Paramètres'!$C$10</f>
        <v/>
      </c>
      <c r="I55" s="172">
        <f>SUMIFS('Journal'!$X$6:$X$505,'Journal'!$AD$6:$AD$505,"&gt;="&amp;EDATE('Paramètres'!$C$11,B55-1),'Journal'!$AD$6:$AD$505,"&lt;"&amp;EDATE('Paramètres'!$C$11,B55))</f>
        <v/>
      </c>
      <c r="J55" s="169">
        <f>F55</f>
        <v/>
      </c>
    </row>
    <row r="56" ht="19" customHeight="1">
      <c r="B56" s="109" t="n">
        <v>31</v>
      </c>
      <c r="C56" s="163">
        <f>EDATE('Paramètres'!$C$11,B56-1)</f>
        <v/>
      </c>
      <c r="D56" s="112">
        <f>G55</f>
        <v/>
      </c>
      <c r="E56" s="112">
        <f>'Paramètres'!$C$14</f>
        <v/>
      </c>
      <c r="F56" s="110">
        <f>D56*'Paramètres'!$C$13</f>
        <v/>
      </c>
      <c r="G56" s="164">
        <f>D56+F56+E56</f>
        <v/>
      </c>
      <c r="H56" s="165">
        <f>'Paramètres'!$C$10</f>
        <v/>
      </c>
      <c r="I56" s="166">
        <f>SUMIFS('Journal'!$X$6:$X$505,'Journal'!$AD$6:$AD$505,"&gt;="&amp;EDATE('Paramètres'!$C$11,B56-1),'Journal'!$AD$6:$AD$505,"&lt;"&amp;EDATE('Paramètres'!$C$11,B56))</f>
        <v/>
      </c>
      <c r="J56" s="110">
        <f>F56</f>
        <v/>
      </c>
    </row>
    <row r="57" ht="19" customHeight="1">
      <c r="B57" s="146" t="n">
        <v>32</v>
      </c>
      <c r="C57" s="167">
        <f>EDATE('Paramètres'!$C$11,B57-1)</f>
        <v/>
      </c>
      <c r="D57" s="168">
        <f>G56</f>
        <v/>
      </c>
      <c r="E57" s="168">
        <f>'Paramètres'!$C$14</f>
        <v/>
      </c>
      <c r="F57" s="169">
        <f>D57*'Paramètres'!$C$13</f>
        <v/>
      </c>
      <c r="G57" s="170">
        <f>D57+F57+E57</f>
        <v/>
      </c>
      <c r="H57" s="171">
        <f>'Paramètres'!$C$10</f>
        <v/>
      </c>
      <c r="I57" s="172">
        <f>SUMIFS('Journal'!$X$6:$X$505,'Journal'!$AD$6:$AD$505,"&gt;="&amp;EDATE('Paramètres'!$C$11,B57-1),'Journal'!$AD$6:$AD$505,"&lt;"&amp;EDATE('Paramètres'!$C$11,B57))</f>
        <v/>
      </c>
      <c r="J57" s="169">
        <f>F57</f>
        <v/>
      </c>
    </row>
    <row r="58" ht="19" customHeight="1">
      <c r="B58" s="109" t="n">
        <v>33</v>
      </c>
      <c r="C58" s="163">
        <f>EDATE('Paramètres'!$C$11,B58-1)</f>
        <v/>
      </c>
      <c r="D58" s="112">
        <f>G57</f>
        <v/>
      </c>
      <c r="E58" s="112">
        <f>'Paramètres'!$C$14</f>
        <v/>
      </c>
      <c r="F58" s="110">
        <f>D58*'Paramètres'!$C$13</f>
        <v/>
      </c>
      <c r="G58" s="164">
        <f>D58+F58+E58</f>
        <v/>
      </c>
      <c r="H58" s="165">
        <f>'Paramètres'!$C$10</f>
        <v/>
      </c>
      <c r="I58" s="166">
        <f>SUMIFS('Journal'!$X$6:$X$505,'Journal'!$AD$6:$AD$505,"&gt;="&amp;EDATE('Paramètres'!$C$11,B58-1),'Journal'!$AD$6:$AD$505,"&lt;"&amp;EDATE('Paramètres'!$C$11,B58))</f>
        <v/>
      </c>
      <c r="J58" s="110">
        <f>F58</f>
        <v/>
      </c>
    </row>
    <row r="59" ht="19" customHeight="1">
      <c r="B59" s="146" t="n">
        <v>34</v>
      </c>
      <c r="C59" s="167">
        <f>EDATE('Paramètres'!$C$11,B59-1)</f>
        <v/>
      </c>
      <c r="D59" s="168">
        <f>G58</f>
        <v/>
      </c>
      <c r="E59" s="168">
        <f>'Paramètres'!$C$14</f>
        <v/>
      </c>
      <c r="F59" s="169">
        <f>D59*'Paramètres'!$C$13</f>
        <v/>
      </c>
      <c r="G59" s="170">
        <f>D59+F59+E59</f>
        <v/>
      </c>
      <c r="H59" s="171">
        <f>'Paramètres'!$C$10</f>
        <v/>
      </c>
      <c r="I59" s="172">
        <f>SUMIFS('Journal'!$X$6:$X$505,'Journal'!$AD$6:$AD$505,"&gt;="&amp;EDATE('Paramètres'!$C$11,B59-1),'Journal'!$AD$6:$AD$505,"&lt;"&amp;EDATE('Paramètres'!$C$11,B59))</f>
        <v/>
      </c>
      <c r="J59" s="169">
        <f>F59</f>
        <v/>
      </c>
    </row>
    <row r="60" ht="19" customHeight="1">
      <c r="B60" s="109" t="n">
        <v>35</v>
      </c>
      <c r="C60" s="163">
        <f>EDATE('Paramètres'!$C$11,B60-1)</f>
        <v/>
      </c>
      <c r="D60" s="112">
        <f>G59</f>
        <v/>
      </c>
      <c r="E60" s="112">
        <f>'Paramètres'!$C$14</f>
        <v/>
      </c>
      <c r="F60" s="110">
        <f>D60*'Paramètres'!$C$13</f>
        <v/>
      </c>
      <c r="G60" s="164">
        <f>D60+F60+E60</f>
        <v/>
      </c>
      <c r="H60" s="165">
        <f>'Paramètres'!$C$10</f>
        <v/>
      </c>
      <c r="I60" s="166">
        <f>SUMIFS('Journal'!$X$6:$X$505,'Journal'!$AD$6:$AD$505,"&gt;="&amp;EDATE('Paramètres'!$C$11,B60-1),'Journal'!$AD$6:$AD$505,"&lt;"&amp;EDATE('Paramètres'!$C$11,B60))</f>
        <v/>
      </c>
      <c r="J60" s="110">
        <f>F60</f>
        <v/>
      </c>
    </row>
    <row r="61" ht="19" customHeight="1">
      <c r="B61" s="146" t="n">
        <v>36</v>
      </c>
      <c r="C61" s="167">
        <f>EDATE('Paramètres'!$C$11,B61-1)</f>
        <v/>
      </c>
      <c r="D61" s="168">
        <f>G60</f>
        <v/>
      </c>
      <c r="E61" s="168">
        <f>'Paramètres'!$C$14</f>
        <v/>
      </c>
      <c r="F61" s="169">
        <f>D61*'Paramètres'!$C$13</f>
        <v/>
      </c>
      <c r="G61" s="170">
        <f>D61+F61+E61</f>
        <v/>
      </c>
      <c r="H61" s="171">
        <f>'Paramètres'!$C$10</f>
        <v/>
      </c>
      <c r="I61" s="172">
        <f>SUMIFS('Journal'!$X$6:$X$505,'Journal'!$AD$6:$AD$505,"&gt;="&amp;EDATE('Paramètres'!$C$11,B61-1),'Journal'!$AD$6:$AD$505,"&lt;"&amp;EDATE('Paramètres'!$C$11,B61))</f>
        <v/>
      </c>
      <c r="J61" s="169">
        <f>F61</f>
        <v/>
      </c>
    </row>
  </sheetData>
  <mergeCells count="37">
    <mergeCell ref="B11:D11"/>
    <mergeCell ref="E12:F12"/>
    <mergeCell ref="D20:E20"/>
    <mergeCell ref="B14:D14"/>
    <mergeCell ref="D19:E19"/>
    <mergeCell ref="B8:D8"/>
    <mergeCell ref="F19:G19"/>
    <mergeCell ref="B17:J17"/>
    <mergeCell ref="B13:D13"/>
    <mergeCell ref="B22:C22"/>
    <mergeCell ref="E14:F14"/>
    <mergeCell ref="D22:E22"/>
    <mergeCell ref="B18:C18"/>
    <mergeCell ref="E8:F8"/>
    <mergeCell ref="D21:E21"/>
    <mergeCell ref="B10:D10"/>
    <mergeCell ref="F21:G21"/>
    <mergeCell ref="B21:C21"/>
    <mergeCell ref="E10:F10"/>
    <mergeCell ref="F20:G20"/>
    <mergeCell ref="F18:G18"/>
    <mergeCell ref="B9:D9"/>
    <mergeCell ref="E13:F13"/>
    <mergeCell ref="B15:D15"/>
    <mergeCell ref="E9:F9"/>
    <mergeCell ref="B6:J6"/>
    <mergeCell ref="B24:J24"/>
    <mergeCell ref="E15:F15"/>
    <mergeCell ref="B19:C19"/>
    <mergeCell ref="E11:F11"/>
    <mergeCell ref="F22:G22"/>
    <mergeCell ref="D18:E18"/>
    <mergeCell ref="B7:D7"/>
    <mergeCell ref="E7:F7"/>
    <mergeCell ref="B20:C20"/>
    <mergeCell ref="R2:S2"/>
    <mergeCell ref="B12:D12"/>
  </mergeCells>
  <conditionalFormatting sqref="F19:F22">
    <cfRule type="cellIs" priority="1" operator="equal" dxfId="8">
      <formula>"Atteint ✓"</formula>
    </cfRule>
  </conditionalFormatting>
  <conditionalFormatting sqref="I26:I61">
    <cfRule type="cellIs" priority="2" operator="lessThan" dxfId="6">
      <formula>0</formula>
    </cfRule>
    <cfRule type="cellIs" priority="3" operator="greaterThan" dxfId="7">
      <formula>0</formula>
    </cfRule>
  </conditionalFormatting>
  <conditionalFormatting sqref="G26:G61">
    <cfRule type="expression" priority="4" dxfId="14">
      <formula>$G26&gt;='Paramètres'!$C$10</formula>
    </cfRule>
  </conditionalFormatting>
  <hyperlinks>
    <hyperlink ref="R2" location="'Accueil'!A1" display="Accueil"/>
  </hyperlinks>
  <printOptions horizontalCentered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tabColor rgb="003B82F6"/>
    <outlinePr summaryBelow="1" summaryRight="1"/>
    <pageSetUpPr fitToPage="1"/>
  </sheetPr>
  <dimension ref="A1:H56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0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22" customHeight="1">
      <c r="A1" s="1" t="n"/>
      <c r="B1" s="2">
        <f>'Paramètres'!$C$7</f>
        <v/>
      </c>
      <c r="C1" s="1" t="n"/>
      <c r="D1" s="1" t="n"/>
      <c r="E1" s="1" t="n"/>
      <c r="F1" s="1" t="n"/>
      <c r="G1" s="1" t="n"/>
      <c r="H1" s="1" t="n"/>
    </row>
    <row r="2" ht="30" customHeight="1">
      <c r="A2" s="1" t="n"/>
      <c r="B2" s="32" t="inlineStr">
        <is>
          <t>Plan de trading</t>
        </is>
      </c>
      <c r="C2" s="1" t="n"/>
      <c r="D2" s="1" t="n"/>
      <c r="E2" s="1" t="n"/>
      <c r="F2" s="1" t="n"/>
      <c r="G2" s="33" t="inlineStr">
        <is>
          <t>← Accueil</t>
        </is>
      </c>
      <c r="H2" s="1" t="n"/>
    </row>
    <row r="3" ht="18" customHeight="1">
      <c r="A3" s="1" t="n"/>
      <c r="B3" s="4" t="inlineStr">
        <is>
          <t>Ton cadre écrit à froid. Modifie les cellules bleues pour l'adapter à ton style.</t>
        </is>
      </c>
      <c r="C3" s="1" t="n"/>
      <c r="D3" s="1" t="n"/>
      <c r="E3" s="1" t="n"/>
      <c r="F3" s="1" t="n"/>
      <c r="G3" s="1" t="n"/>
      <c r="H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</row>
    <row r="6" ht="24" customHeight="1">
      <c r="B6" s="19" t="inlineStr">
        <is>
          <t>PHILOSOPHIE &amp; MARCHÉS</t>
        </is>
      </c>
      <c r="C6" s="20" t="n"/>
      <c r="D6" s="20" t="n"/>
      <c r="E6" s="20" t="n"/>
      <c r="F6" s="20" t="n"/>
      <c r="G6" s="20" t="n"/>
      <c r="H6" s="20" t="n"/>
    </row>
    <row r="7" ht="24" customHeight="1">
      <c r="B7" s="173" t="inlineStr">
        <is>
          <t>Style de trading</t>
        </is>
      </c>
      <c r="C7" s="174" t="inlineStr">
        <is>
          <t>Swing trading : positions tenues de 2 à 15 jours, décisions prises sur graphiques 4H / 1D.</t>
        </is>
      </c>
      <c r="D7" s="175" t="n"/>
      <c r="E7" s="175" t="n"/>
      <c r="F7" s="175" t="n"/>
      <c r="G7" s="175" t="n"/>
      <c r="H7" s="175" t="n"/>
    </row>
    <row r="8" ht="24" customHeight="1">
      <c r="B8" s="173" t="inlineStr">
        <is>
          <t>Marchés tradés</t>
        </is>
      </c>
      <c r="C8" s="174" t="inlineStr">
        <is>
          <t>Cryptomonnaies majeures et actifs liquides uniquement (volume quotidien élevé).</t>
        </is>
      </c>
      <c r="D8" s="175" t="n"/>
      <c r="E8" s="175" t="n"/>
      <c r="F8" s="175" t="n"/>
      <c r="G8" s="175" t="n"/>
      <c r="H8" s="175" t="n"/>
    </row>
    <row r="9" ht="24" customHeight="1">
      <c r="B9" s="173" t="inlineStr">
        <is>
          <t>Timeframes</t>
        </is>
      </c>
      <c r="C9" s="174" t="inlineStr">
        <is>
          <t>Analyse du contexte en 1W / 1D ; entrées sur 4H / 1D.</t>
        </is>
      </c>
      <c r="D9" s="175" t="n"/>
      <c r="E9" s="175" t="n"/>
      <c r="F9" s="175" t="n"/>
      <c r="G9" s="175" t="n"/>
      <c r="H9" s="175" t="n"/>
    </row>
    <row r="10" ht="24" customHeight="1">
      <c r="B10" s="173" t="inlineStr">
        <is>
          <t>Fréquence d'analyse</t>
        </is>
      </c>
      <c r="C10" s="174" t="inlineStr">
        <is>
          <t>Une revue le soir (20 minutes) et une revue hebdomadaire le dimanche.</t>
        </is>
      </c>
      <c r="D10" s="175" t="n"/>
      <c r="E10" s="175" t="n"/>
      <c r="F10" s="175" t="n"/>
      <c r="G10" s="175" t="n"/>
      <c r="H10" s="175" t="n"/>
    </row>
    <row r="11" ht="24" customHeight="1">
      <c r="B11" s="173" t="inlineStr">
        <is>
          <t>Objectif d'activité</t>
        </is>
      </c>
      <c r="C11" s="174" t="inlineStr">
        <is>
          <t>2 à 4 trades par semaine : la qualité prime sur la quantité.</t>
        </is>
      </c>
      <c r="D11" s="175" t="n"/>
      <c r="E11" s="175" t="n"/>
      <c r="F11" s="175" t="n"/>
      <c r="G11" s="175" t="n"/>
      <c r="H11" s="175" t="n"/>
    </row>
    <row r="13" ht="24" customHeight="1">
      <c r="B13" s="14" t="inlineStr">
        <is>
          <t>RÈGLES D'ENTRÉE</t>
        </is>
      </c>
      <c r="C13" s="15" t="n"/>
      <c r="D13" s="15" t="n"/>
      <c r="E13" s="15" t="n"/>
      <c r="F13" s="15" t="n"/>
      <c r="G13" s="15" t="n"/>
      <c r="H13" s="15" t="n"/>
    </row>
    <row r="14" ht="24" customHeight="1">
      <c r="B14" s="173" t="inlineStr">
        <is>
          <t>Setups autorisés</t>
        </is>
      </c>
      <c r="C14" s="174" t="inlineStr">
        <is>
          <t>Breakout · Pullback dans la tendance · Retest support / résistance · Flag.</t>
        </is>
      </c>
      <c r="D14" s="175" t="n"/>
      <c r="E14" s="175" t="n"/>
      <c r="F14" s="175" t="n"/>
      <c r="G14" s="175" t="n"/>
      <c r="H14" s="175" t="n"/>
    </row>
    <row r="15" ht="34" customHeight="1">
      <c r="B15" s="173" t="inlineStr">
        <is>
          <t>Conditions obligatoires</t>
        </is>
      </c>
      <c r="C15" s="174" t="inlineStr">
        <is>
          <t>Tendance du timeframe supérieur alignée + niveau clé clairement identifié + stop logique d'invalidation.</t>
        </is>
      </c>
      <c r="D15" s="175" t="n"/>
      <c r="E15" s="175" t="n"/>
      <c r="F15" s="175" t="n"/>
      <c r="G15" s="175" t="n"/>
      <c r="H15" s="175" t="n"/>
    </row>
    <row r="16" ht="34" customHeight="1">
      <c r="B16" s="173" t="inlineStr">
        <is>
          <t>Interdits</t>
        </is>
      </c>
      <c r="C16" s="174" t="inlineStr">
        <is>
          <t>Pas d'entrée après une bougie d'extension de plus de 2 ATR. Pas de trade juste avant une annonce majeure. Pas de trade sans stop.</t>
        </is>
      </c>
      <c r="D16" s="175" t="n"/>
      <c r="E16" s="175" t="n"/>
      <c r="F16" s="175" t="n"/>
      <c r="G16" s="175" t="n"/>
      <c r="H16" s="175" t="n"/>
    </row>
    <row r="18" ht="24" customHeight="1">
      <c r="B18" s="54" t="inlineStr">
        <is>
          <t>GESTION DE POSITION &amp; SORTIES</t>
        </is>
      </c>
      <c r="C18" s="55" t="n"/>
      <c r="D18" s="55" t="n"/>
      <c r="E18" s="55" t="n"/>
      <c r="F18" s="55" t="n"/>
      <c r="G18" s="55" t="n"/>
      <c r="H18" s="55" t="n"/>
    </row>
    <row r="19" ht="24" customHeight="1">
      <c r="B19" s="173" t="inlineStr">
        <is>
          <t>Sortie partielle</t>
        </is>
      </c>
      <c r="C19" s="174" t="inlineStr">
        <is>
          <t>Sécuriser 50 % de la position à 1,5 R et déplacer le stop au point d'entrée.</t>
        </is>
      </c>
      <c r="D19" s="175" t="n"/>
      <c r="E19" s="175" t="n"/>
      <c r="F19" s="175" t="n"/>
      <c r="G19" s="175" t="n"/>
      <c r="H19" s="175" t="n"/>
    </row>
    <row r="20" ht="24" customHeight="1">
      <c r="B20" s="173" t="inlineStr">
        <is>
          <t>Stop suiveur</t>
        </is>
      </c>
      <c r="C20" s="174" t="inlineStr">
        <is>
          <t>Remonter le stop sous chaque nouveau creux significatif (4H) tant que la tendance tient.</t>
        </is>
      </c>
      <c r="D20" s="175" t="n"/>
      <c r="E20" s="175" t="n"/>
      <c r="F20" s="175" t="n"/>
      <c r="G20" s="175" t="n"/>
      <c r="H20" s="175" t="n"/>
    </row>
    <row r="21" ht="24" customHeight="1">
      <c r="B21" s="173" t="inlineStr">
        <is>
          <t>Sortie complète</t>
        </is>
      </c>
      <c r="C21" s="174" t="inlineStr">
        <is>
          <t>Clôture totale si la structure est invalidée ou si l'objectif final est atteint.</t>
        </is>
      </c>
      <c r="D21" s="175" t="n"/>
      <c r="E21" s="175" t="n"/>
      <c r="F21" s="175" t="n"/>
      <c r="G21" s="175" t="n"/>
      <c r="H21" s="175" t="n"/>
    </row>
    <row r="22" ht="24" customHeight="1">
      <c r="B22" s="173" t="inlineStr">
        <is>
          <t>Sortie sur le temps</t>
        </is>
      </c>
      <c r="C22" s="174" t="inlineStr">
        <is>
          <t>Si le trade n'a pas évolué après 10 jours, réévaluer et sortir si le scénario est dégradé.</t>
        </is>
      </c>
      <c r="D22" s="175" t="n"/>
      <c r="E22" s="175" t="n"/>
      <c r="F22" s="175" t="n"/>
      <c r="G22" s="175" t="n"/>
      <c r="H22" s="175" t="n"/>
    </row>
    <row r="24" ht="24" customHeight="1">
      <c r="B24" s="23" t="inlineStr">
        <is>
          <t>DISCIPLINE</t>
        </is>
      </c>
      <c r="C24" s="24" t="n"/>
      <c r="D24" s="24" t="n"/>
      <c r="E24" s="24" t="n"/>
      <c r="F24" s="24" t="n"/>
      <c r="G24" s="24" t="n"/>
      <c r="H24" s="24" t="n"/>
    </row>
    <row r="25" ht="24" customHeight="1">
      <c r="B25" s="173" t="inlineStr">
        <is>
          <t>Après 2 pertes consécutives</t>
        </is>
      </c>
      <c r="C25" s="174" t="inlineStr">
        <is>
          <t>Pause de 24 heures et relecture du Journal avant de reprendre.</t>
        </is>
      </c>
      <c r="D25" s="175" t="n"/>
      <c r="E25" s="175" t="n"/>
      <c r="F25" s="175" t="n"/>
      <c r="G25" s="175" t="n"/>
      <c r="H25" s="175" t="n"/>
    </row>
    <row r="26" ht="24" customHeight="1">
      <c r="B26" s="173" t="inlineStr">
        <is>
          <t>Limite de perte</t>
        </is>
      </c>
      <c r="C26" s="174" t="inlineStr">
        <is>
          <t>Arrêt immédiat de la journée dès que la perte journalière maximale est atteinte.</t>
        </is>
      </c>
      <c r="D26" s="175" t="n"/>
      <c r="E26" s="175" t="n"/>
      <c r="F26" s="175" t="n"/>
      <c r="G26" s="175" t="n"/>
      <c r="H26" s="175" t="n"/>
    </row>
    <row r="27" ht="24" customHeight="1">
      <c r="B27" s="173" t="inlineStr">
        <is>
          <t>État émotionnel</t>
        </is>
      </c>
      <c r="C27" s="174" t="inlineStr">
        <is>
          <t>Aucun trade en cas de fatigue, de colère, de stress ou d'euphorie.</t>
        </is>
      </c>
      <c r="D27" s="175" t="n"/>
      <c r="E27" s="175" t="n"/>
      <c r="F27" s="175" t="n"/>
      <c r="G27" s="175" t="n"/>
      <c r="H27" s="175" t="n"/>
    </row>
    <row r="28" ht="24" customHeight="1">
      <c r="B28" s="173" t="inlineStr">
        <is>
          <t>Revue obligatoire</t>
        </is>
      </c>
      <c r="C28" s="174" t="inlineStr">
        <is>
          <t>Revue hebdomadaire chaque dimanche, revue mensuelle le premier week-end du mois.</t>
        </is>
      </c>
      <c r="D28" s="175" t="n"/>
      <c r="E28" s="175" t="n"/>
      <c r="F28" s="175" t="n"/>
      <c r="G28" s="175" t="n"/>
      <c r="H28" s="175" t="n"/>
    </row>
    <row r="30" ht="24" customHeight="1">
      <c r="B30" s="152" t="inlineStr">
        <is>
          <t>LIMITES CHIFFRÉES (lues dans Paramètres)</t>
        </is>
      </c>
      <c r="C30" s="153" t="n"/>
      <c r="D30" s="153" t="n"/>
      <c r="E30" s="153" t="n"/>
      <c r="F30" s="153" t="n"/>
      <c r="G30" s="153" t="n"/>
      <c r="H30" s="153" t="n"/>
    </row>
    <row r="31" ht="22" customHeight="1">
      <c r="B31" s="176" t="inlineStr">
        <is>
          <t>Risque max par trade</t>
        </is>
      </c>
      <c r="C31" s="157">
        <f>'Paramètres'!$C$16</f>
        <v/>
      </c>
    </row>
    <row r="32" ht="22" customHeight="1">
      <c r="B32" s="176" t="inlineStr">
        <is>
          <t>R:R minimum</t>
        </is>
      </c>
      <c r="C32" s="177">
        <f>'Paramètres'!$C$17</f>
        <v/>
      </c>
    </row>
    <row r="33" ht="22" customHeight="1">
      <c r="B33" s="176" t="inlineStr">
        <is>
          <t>Positions ouvertes max</t>
        </is>
      </c>
      <c r="C33" s="178">
        <f>'Paramètres'!$C$19</f>
        <v/>
      </c>
    </row>
    <row r="34" ht="22" customHeight="1">
      <c r="B34" s="176" t="inlineStr">
        <is>
          <t>Perte journalière max</t>
        </is>
      </c>
      <c r="C34" s="157">
        <f>'Paramètres'!$C$20</f>
        <v/>
      </c>
    </row>
    <row r="35" ht="22" customHeight="1">
      <c r="B35" s="176" t="inlineStr">
        <is>
          <t>Drawdown max toléré</t>
        </is>
      </c>
      <c r="C35" s="157">
        <f>'Paramètres'!$C$21</f>
        <v/>
      </c>
    </row>
    <row r="37" ht="24" customHeight="1">
      <c r="B37" s="14" t="inlineStr">
        <is>
          <t>CHECKLIST PRÉ-TRADE (SCORE /8)</t>
        </is>
      </c>
      <c r="C37" s="15" t="n"/>
      <c r="D37" s="15" t="n"/>
      <c r="E37" s="15" t="n"/>
      <c r="F37" s="15" t="n"/>
      <c r="G37" s="15" t="n"/>
      <c r="H37" s="15" t="n"/>
    </row>
    <row r="38">
      <c r="B38" s="117" t="inlineStr">
        <is>
          <t>Critère</t>
        </is>
      </c>
      <c r="C38" s="117" t="inlineStr">
        <is>
          <t>Question à te poser</t>
        </is>
      </c>
      <c r="D38" s="83" t="n"/>
      <c r="E38" s="83" t="n"/>
      <c r="F38" s="83" t="n"/>
      <c r="G38" s="83" t="inlineStr">
        <is>
          <t>Oui / Non</t>
        </is>
      </c>
      <c r="H38" s="83" t="inlineStr">
        <is>
          <t>Points</t>
        </is>
      </c>
    </row>
    <row r="39" ht="24" customHeight="1">
      <c r="B39" s="179" t="inlineStr">
        <is>
          <t>Tendance de fond alignée</t>
        </is>
      </c>
      <c r="C39" s="37" t="inlineStr">
        <is>
          <t>Le timeframe supérieur (1W / 1D) va dans le sens du trade.</t>
        </is>
      </c>
      <c r="D39" s="37" t="n"/>
      <c r="E39" s="37" t="n"/>
      <c r="F39" s="37" t="n"/>
      <c r="G39" s="49" t="n"/>
      <c r="H39" s="109">
        <f>IF(G39="Oui",1,0)</f>
        <v/>
      </c>
    </row>
    <row r="40" ht="24" customHeight="1">
      <c r="B40" s="180" t="inlineStr">
        <is>
          <t>Niveau clé identifié</t>
        </is>
      </c>
      <c r="C40" s="57" t="inlineStr">
        <is>
          <t>Support, résistance ou zone de confluence clairement tracé.</t>
        </is>
      </c>
      <c r="D40" s="57" t="n"/>
      <c r="E40" s="57" t="n"/>
      <c r="F40" s="57" t="n"/>
      <c r="G40" s="49" t="n"/>
      <c r="H40" s="146">
        <f>IF(G40="Oui",1,0)</f>
        <v/>
      </c>
    </row>
    <row r="41" ht="24" customHeight="1">
      <c r="B41" s="179" t="inlineStr">
        <is>
          <t>Confirmation d'entrée</t>
        </is>
      </c>
      <c r="C41" s="37" t="inlineStr">
        <is>
          <t>Bougie de confirmation, cassure validée ou volume cohérent.</t>
        </is>
      </c>
      <c r="D41" s="37" t="n"/>
      <c r="E41" s="37" t="n"/>
      <c r="F41" s="37" t="n"/>
      <c r="G41" s="49" t="n"/>
      <c r="H41" s="109">
        <f>IF(G41="Oui",1,0)</f>
        <v/>
      </c>
    </row>
    <row r="42" ht="24" customHeight="1">
      <c r="B42" s="180" t="inlineStr">
        <is>
          <t>Stop logique</t>
        </is>
      </c>
      <c r="C42" s="57" t="inlineStr">
        <is>
          <t>Le stop est placé là où le scénario est invalidé, pas là où ça arrange.</t>
        </is>
      </c>
      <c r="D42" s="57" t="n"/>
      <c r="E42" s="57" t="n"/>
      <c r="F42" s="57" t="n"/>
      <c r="G42" s="49" t="n"/>
      <c r="H42" s="146">
        <f>IF(G42="Oui",1,0)</f>
        <v/>
      </c>
    </row>
    <row r="43" ht="24" customHeight="1">
      <c r="B43" s="179" t="inlineStr">
        <is>
          <t>R:R conforme</t>
        </is>
      </c>
      <c r="C43" s="37" t="inlineStr">
        <is>
          <t>Le ratio gain / risque atteint au moins ton minimum.</t>
        </is>
      </c>
      <c r="D43" s="37" t="n"/>
      <c r="E43" s="37" t="n"/>
      <c r="F43" s="37" t="n"/>
      <c r="G43" s="49" t="n"/>
      <c r="H43" s="109">
        <f>IF(G43="Oui",1,0)</f>
        <v/>
      </c>
    </row>
    <row r="44" ht="24" customHeight="1">
      <c r="B44" s="180" t="inlineStr">
        <is>
          <t>Risque conforme</t>
        </is>
      </c>
      <c r="C44" s="57" t="inlineStr">
        <is>
          <t>La taille de position respecte ton risque maximal par trade.</t>
        </is>
      </c>
      <c r="D44" s="57" t="n"/>
      <c r="E44" s="57" t="n"/>
      <c r="F44" s="57" t="n"/>
      <c r="G44" s="49" t="n"/>
      <c r="H44" s="146">
        <f>IF(G44="Oui",1,0)</f>
        <v/>
      </c>
    </row>
    <row r="45" ht="24" customHeight="1">
      <c r="B45" s="179" t="inlineStr">
        <is>
          <t>Pas d'événement majeur</t>
        </is>
      </c>
      <c r="C45" s="37" t="inlineStr">
        <is>
          <t>Aucune annonce macro ou d'entreprise majeure imminente.</t>
        </is>
      </c>
      <c r="D45" s="37" t="n"/>
      <c r="E45" s="37" t="n"/>
      <c r="F45" s="37" t="n"/>
      <c r="G45" s="49" t="n"/>
      <c r="H45" s="109">
        <f>IF(G45="Oui",1,0)</f>
        <v/>
      </c>
    </row>
    <row r="46" ht="24" customHeight="1">
      <c r="B46" s="180" t="inlineStr">
        <is>
          <t>État émotionnel neutre</t>
        </is>
      </c>
      <c r="C46" s="57" t="inlineStr">
        <is>
          <t>Tu es calme, reposé et tu respectes ton plan.</t>
        </is>
      </c>
      <c r="D46" s="57" t="n"/>
      <c r="E46" s="57" t="n"/>
      <c r="F46" s="57" t="n"/>
      <c r="G46" s="49" t="n"/>
      <c r="H46" s="146">
        <f>IF(G46="Oui",1,0)</f>
        <v/>
      </c>
    </row>
    <row r="47" ht="26" customHeight="1">
      <c r="B47" s="176" t="inlineStr">
        <is>
          <t>Score minimal pour entrer</t>
        </is>
      </c>
      <c r="C47" s="62" t="n">
        <v>6</v>
      </c>
    </row>
    <row r="48" ht="30" customHeight="1">
      <c r="B48" s="181" t="inlineStr">
        <is>
          <t>SCORE DU TRADE</t>
        </is>
      </c>
      <c r="C48" s="182">
        <f>SUM(H39:H46)</f>
        <v/>
      </c>
      <c r="D48" s="183">
        <f>IF(COUNTA(G39:G46)&lt;8,"Réponds aux 8 critères.",IF(C48&gt;=8,"Setup A+ : conditions idéales, exécute ton plan.",IF(C48&gt;=$C$47,"Setup valide : tu peux exécuter ton plan.","Setup insuffisant : passe ton tour.")))</f>
        <v/>
      </c>
      <c r="E48" s="183" t="n"/>
      <c r="F48" s="183" t="n"/>
      <c r="G48" s="183" t="n"/>
      <c r="H48" s="183" t="n"/>
    </row>
    <row r="50" ht="24" customHeight="1">
      <c r="B50" s="23" t="inlineStr">
        <is>
          <t>CHECKLIST POST-TRADE</t>
        </is>
      </c>
      <c r="C50" s="24" t="n"/>
      <c r="D50" s="24" t="n"/>
      <c r="E50" s="24" t="n"/>
      <c r="F50" s="24" t="n"/>
      <c r="G50" s="24" t="n"/>
      <c r="H50" s="24" t="n"/>
    </row>
    <row r="51" ht="22" customHeight="1">
      <c r="B51" s="184" t="inlineStr">
        <is>
          <t>1</t>
        </is>
      </c>
      <c r="C51" s="185" t="inlineStr">
        <is>
          <t>Capture d'écran du trade enregistrée (entrée, stop, sortie).</t>
        </is>
      </c>
      <c r="D51" s="185" t="n"/>
      <c r="E51" s="185" t="n"/>
      <c r="F51" s="185" t="n"/>
      <c r="G51" s="185" t="n"/>
      <c r="H51" s="185" t="n"/>
    </row>
    <row r="52" ht="22" customHeight="1">
      <c r="B52" s="184" t="inlineStr">
        <is>
          <t>2</t>
        </is>
      </c>
      <c r="C52" s="185" t="inlineStr">
        <is>
          <t>Prix de sortie, frais et date saisis dans le Journal.</t>
        </is>
      </c>
      <c r="D52" s="185" t="n"/>
      <c r="E52" s="185" t="n"/>
      <c r="F52" s="185" t="n"/>
      <c r="G52" s="185" t="n"/>
      <c r="H52" s="185" t="n"/>
    </row>
    <row r="53" ht="22" customHeight="1">
      <c r="B53" s="184" t="inlineStr">
        <is>
          <t>3</t>
        </is>
      </c>
      <c r="C53" s="185" t="inlineStr">
        <is>
          <t>Respect du plan évalué honnêtement (Oui / Non).</t>
        </is>
      </c>
      <c r="D53" s="185" t="n"/>
      <c r="E53" s="185" t="n"/>
      <c r="F53" s="185" t="n"/>
      <c r="G53" s="185" t="n"/>
      <c r="H53" s="185" t="n"/>
    </row>
    <row r="54" ht="22" customHeight="1">
      <c r="B54" s="184" t="inlineStr">
        <is>
          <t>4</t>
        </is>
      </c>
      <c r="C54" s="185" t="inlineStr">
        <is>
          <t>Erreur principale identifiée, même si le trade est gagnant.</t>
        </is>
      </c>
      <c r="D54" s="185" t="n"/>
      <c r="E54" s="185" t="n"/>
      <c r="F54" s="185" t="n"/>
      <c r="G54" s="185" t="n"/>
      <c r="H54" s="185" t="n"/>
    </row>
    <row r="55" ht="22" customHeight="1">
      <c r="B55" s="184" t="inlineStr">
        <is>
          <t>5</t>
        </is>
      </c>
      <c r="C55" s="185" t="inlineStr">
        <is>
          <t>Une leçon écrite en une phrase.</t>
        </is>
      </c>
      <c r="D55" s="185" t="n"/>
      <c r="E55" s="185" t="n"/>
      <c r="F55" s="185" t="n"/>
      <c r="G55" s="185" t="n"/>
      <c r="H55" s="185" t="n"/>
    </row>
    <row r="56" ht="22" customHeight="1">
      <c r="B56" s="184" t="inlineStr">
        <is>
          <t>6</t>
        </is>
      </c>
      <c r="C56" s="185" t="inlineStr">
        <is>
          <t>Émotion ressentie à l'entrée et à la sortie notée.</t>
        </is>
      </c>
      <c r="D56" s="185" t="n"/>
      <c r="E56" s="185" t="n"/>
      <c r="F56" s="185" t="n"/>
      <c r="G56" s="185" t="n"/>
      <c r="H56" s="185" t="n"/>
    </row>
  </sheetData>
  <mergeCells count="40">
    <mergeCell ref="C25:H25"/>
    <mergeCell ref="C10:H10"/>
    <mergeCell ref="C16:H16"/>
    <mergeCell ref="C54:H54"/>
    <mergeCell ref="C55:H55"/>
    <mergeCell ref="C39:F39"/>
    <mergeCell ref="G2:H2"/>
    <mergeCell ref="C22:H22"/>
    <mergeCell ref="C9:H9"/>
    <mergeCell ref="B6:H6"/>
    <mergeCell ref="B24:H24"/>
    <mergeCell ref="B30:H30"/>
    <mergeCell ref="C38:F38"/>
    <mergeCell ref="C56:H56"/>
    <mergeCell ref="C21:H21"/>
    <mergeCell ref="C11:H11"/>
    <mergeCell ref="C51:H51"/>
    <mergeCell ref="B50:H50"/>
    <mergeCell ref="C27:H27"/>
    <mergeCell ref="C52:H52"/>
    <mergeCell ref="C8:H8"/>
    <mergeCell ref="C42:F42"/>
    <mergeCell ref="C7:H7"/>
    <mergeCell ref="D48:H48"/>
    <mergeCell ref="C19:H19"/>
    <mergeCell ref="C45:F45"/>
    <mergeCell ref="B18:H18"/>
    <mergeCell ref="C28:H28"/>
    <mergeCell ref="C53:H53"/>
    <mergeCell ref="C41:F41"/>
    <mergeCell ref="C44:F44"/>
    <mergeCell ref="C15:H15"/>
    <mergeCell ref="C40:F40"/>
    <mergeCell ref="B13:H13"/>
    <mergeCell ref="C14:H14"/>
    <mergeCell ref="C43:F43"/>
    <mergeCell ref="C46:F46"/>
    <mergeCell ref="C26:H26"/>
    <mergeCell ref="B37:H37"/>
    <mergeCell ref="C20:H20"/>
  </mergeCells>
  <conditionalFormatting sqref="G39:G46">
    <cfRule type="cellIs" priority="1" operator="equal" dxfId="7">
      <formula>"Oui"</formula>
    </cfRule>
    <cfRule type="cellIs" priority="2" operator="equal" dxfId="6">
      <formula>"Non"</formula>
    </cfRule>
  </conditionalFormatting>
  <conditionalFormatting sqref="D48">
    <cfRule type="expression" priority="3" dxfId="15">
      <formula>LEFT(D48,5)="Setup"</formula>
    </cfRule>
    <cfRule type="expression" priority="4" dxfId="16">
      <formula>LEFT(D48,9)="Setup ins"</formula>
    </cfRule>
  </conditionalFormatting>
  <dataValidations count="1">
    <dataValidation sqref="G39:G46" showDropDown="0" showInputMessage="0" showErrorMessage="0" allowBlank="1" type="list">
      <formula1>"Oui,Non"</formula1>
    </dataValidation>
  </dataValidations>
  <hyperlinks>
    <hyperlink ref="G2" location="'Accueil'!A1" display="Accueil"/>
  </hyperlinks>
  <printOptions horizontalCentered="1"/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tabColor rgb="003B82F6"/>
    <outlinePr summaryBelow="1" summaryRight="1"/>
    <pageSetUpPr fitToPage="1"/>
  </sheetPr>
  <dimension ref="A1:O36"/>
  <sheetViews>
    <sheetView showGridLines="0" tabSelected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4" customWidth="1" min="2" max="2"/>
    <col width="9" customWidth="1" min="3" max="3"/>
    <col width="24" customWidth="1" min="4" max="4"/>
    <col width="11" customWidth="1" min="5" max="5"/>
    <col width="13" customWidth="1" min="6" max="6"/>
    <col width="13" customWidth="1" min="7" max="7"/>
    <col width="12" customWidth="1" min="8" max="8"/>
    <col width="12" customWidth="1" min="9" max="9"/>
    <col width="9" customWidth="1" min="10" max="10"/>
    <col width="18" customWidth="1" min="11" max="11"/>
    <col width="12" customWidth="1" min="12" max="12"/>
    <col width="14" customWidth="1" min="13" max="13"/>
    <col width="40" customWidth="1" min="14" max="14"/>
    <col width="2" customWidth="1" min="15" max="15"/>
  </cols>
  <sheetData>
    <row r="1" ht="22" customHeight="1">
      <c r="A1" s="1" t="n"/>
      <c r="B1" s="2">
        <f>'Paramètres'!$C$7</f>
        <v/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</row>
    <row r="2" ht="30" customHeight="1">
      <c r="A2" s="1" t="n"/>
      <c r="B2" s="32" t="inlineStr">
        <is>
          <t>Watchlist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33" t="inlineStr">
        <is>
          <t>← Accueil</t>
        </is>
      </c>
      <c r="N2" s="1" t="n"/>
      <c r="O2" s="1" t="n"/>
    </row>
    <row r="3" ht="18" customHeight="1">
      <c r="A3" s="1" t="n"/>
      <c r="B3" s="4" t="inlineStr">
        <is>
          <t>Prépare tes opportunités : entrée, stop, objectif. Le R:R et la qualité se calculent seuls.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</row>
    <row r="6" ht="32" customHeight="1">
      <c r="B6" s="83" t="inlineStr">
        <is>
          <t>Actif</t>
        </is>
      </c>
      <c r="C6" s="83" t="inlineStr">
        <is>
          <t>Sens</t>
        </is>
      </c>
      <c r="D6" s="83" t="inlineStr">
        <is>
          <t>Setup envisagé</t>
        </is>
      </c>
      <c r="E6" s="83" t="inlineStr">
        <is>
          <t>Timeframe</t>
        </is>
      </c>
      <c r="F6" s="83" t="inlineStr">
        <is>
          <t>Prix actuel</t>
        </is>
      </c>
      <c r="G6" s="83" t="inlineStr">
        <is>
          <t>Zone d'entrée</t>
        </is>
      </c>
      <c r="H6" s="83" t="inlineStr">
        <is>
          <t>Stop</t>
        </is>
      </c>
      <c r="I6" s="83" t="inlineStr">
        <is>
          <t>Objectif</t>
        </is>
      </c>
      <c r="J6" s="83" t="inlineStr">
        <is>
          <t>R:R</t>
        </is>
      </c>
      <c r="K6" s="83" t="inlineStr">
        <is>
          <t>Qualité</t>
        </is>
      </c>
      <c r="L6" s="83" t="inlineStr">
        <is>
          <t>Distance à l'entrée</t>
        </is>
      </c>
      <c r="M6" s="83" t="inlineStr">
        <is>
          <t>Statut</t>
        </is>
      </c>
      <c r="N6" s="83" t="inlineStr">
        <is>
          <t>Notes</t>
        </is>
      </c>
    </row>
    <row r="7" ht="21" customHeight="1">
      <c r="B7" s="105" t="inlineStr">
        <is>
          <t>BTC/USDT</t>
        </is>
      </c>
      <c r="C7" s="49" t="inlineStr">
        <is>
          <t>Long</t>
        </is>
      </c>
      <c r="D7" s="105" t="inlineStr">
        <is>
          <t>Breakout</t>
        </is>
      </c>
      <c r="E7" s="49" t="inlineStr">
        <is>
          <t>1D</t>
        </is>
      </c>
      <c r="F7" s="107" t="n">
        <v>91200</v>
      </c>
      <c r="G7" s="107" t="n">
        <v>93000</v>
      </c>
      <c r="H7" s="107" t="n">
        <v>88800</v>
      </c>
      <c r="I7" s="107" t="n">
        <v>102000</v>
      </c>
      <c r="J7" s="114">
        <f>IF(OR(G7="",H7="",I7="",G7=H7),"",ABS(I7-G7)/ABS(G7-H7))</f>
        <v/>
      </c>
      <c r="K7" s="51">
        <f>IF(J7="","",IF(J7&gt;='Paramètres'!$C$17,"✔ R:R conforme","✖ R:R insuffisant"))</f>
        <v/>
      </c>
      <c r="L7" s="186">
        <f>IF(OR(F7="",G7=""),"",F7/G7-1)</f>
        <v/>
      </c>
      <c r="M7" s="49" t="inlineStr">
        <is>
          <t>Prêt</t>
        </is>
      </c>
      <c r="N7" s="105" t="inlineStr">
        <is>
          <t>Cassure attendue au-dessus de la résistance hebdo.</t>
        </is>
      </c>
    </row>
    <row r="8" ht="21" customHeight="1">
      <c r="B8" s="105" t="inlineStr">
        <is>
          <t>ETH/USDT</t>
        </is>
      </c>
      <c r="C8" s="49" t="inlineStr">
        <is>
          <t>Long</t>
        </is>
      </c>
      <c r="D8" s="105" t="inlineStr">
        <is>
          <t>Pullback / Retracement</t>
        </is>
      </c>
      <c r="E8" s="49" t="inlineStr">
        <is>
          <t>4H</t>
        </is>
      </c>
      <c r="F8" s="107" t="n">
        <v>3310</v>
      </c>
      <c r="G8" s="107" t="n">
        <v>3180</v>
      </c>
      <c r="H8" s="107" t="n">
        <v>3020</v>
      </c>
      <c r="I8" s="107" t="n">
        <v>3600</v>
      </c>
      <c r="J8" s="114">
        <f>IF(OR(G8="",H8="",I8="",G8=H8),"",ABS(I8-G8)/ABS(G8-H8))</f>
        <v/>
      </c>
      <c r="K8" s="51">
        <f>IF(J8="","",IF(J8&gt;='Paramètres'!$C$17,"✔ R:R conforme","✖ R:R insuffisant"))</f>
        <v/>
      </c>
      <c r="L8" s="186">
        <f>IF(OR(F8="",G8=""),"",F8/G8-1)</f>
        <v/>
      </c>
      <c r="M8" s="49" t="inlineStr">
        <is>
          <t>À surveiller</t>
        </is>
      </c>
      <c r="N8" s="105" t="inlineStr">
        <is>
          <t>Attendre le retour sur la MM50.</t>
        </is>
      </c>
    </row>
    <row r="9" ht="21" customHeight="1">
      <c r="B9" s="105" t="inlineStr">
        <is>
          <t>SOL/USDT</t>
        </is>
      </c>
      <c r="C9" s="49" t="inlineStr">
        <is>
          <t>Short</t>
        </is>
      </c>
      <c r="D9" s="105" t="inlineStr">
        <is>
          <t>Retest support-résistance</t>
        </is>
      </c>
      <c r="E9" s="49" t="inlineStr">
        <is>
          <t>1D</t>
        </is>
      </c>
      <c r="F9" s="107" t="n">
        <v>158</v>
      </c>
      <c r="G9" s="107" t="n">
        <v>166</v>
      </c>
      <c r="H9" s="107" t="n">
        <v>174</v>
      </c>
      <c r="I9" s="107" t="n">
        <v>142</v>
      </c>
      <c r="J9" s="114">
        <f>IF(OR(G9="",H9="",I9="",G9=H9),"",ABS(I9-G9)/ABS(G9-H9))</f>
        <v/>
      </c>
      <c r="K9" s="51">
        <f>IF(J9="","",IF(J9&gt;='Paramètres'!$C$17,"✔ R:R conforme","✖ R:R insuffisant"))</f>
        <v/>
      </c>
      <c r="L9" s="186">
        <f>IF(OR(F9="",G9=""),"",F9/G9-1)</f>
        <v/>
      </c>
      <c r="M9" s="49" t="inlineStr">
        <is>
          <t>À surveiller</t>
        </is>
      </c>
      <c r="N9" s="105" t="inlineStr">
        <is>
          <t>Retest de la zone cassée à surveiller.</t>
        </is>
      </c>
    </row>
    <row r="10" ht="21" customHeight="1">
      <c r="B10" s="105" t="inlineStr">
        <is>
          <t>LINK/USDT</t>
        </is>
      </c>
      <c r="C10" s="49" t="inlineStr">
        <is>
          <t>Long</t>
        </is>
      </c>
      <c r="D10" s="105" t="inlineStr">
        <is>
          <t>Flag / Pennant</t>
        </is>
      </c>
      <c r="E10" s="49" t="inlineStr">
        <is>
          <t>4H</t>
        </is>
      </c>
      <c r="F10" s="107" t="n">
        <v>15.2</v>
      </c>
      <c r="G10" s="107" t="n">
        <v>15.9</v>
      </c>
      <c r="H10" s="107" t="n">
        <v>14.8</v>
      </c>
      <c r="I10" s="107" t="n">
        <v>18.4</v>
      </c>
      <c r="J10" s="114">
        <f>IF(OR(G10="",H10="",I10="",G10=H10),"",ABS(I10-G10)/ABS(G10-H10))</f>
        <v/>
      </c>
      <c r="K10" s="51">
        <f>IF(J10="","",IF(J10&gt;='Paramètres'!$C$17,"✔ R:R conforme","✖ R:R insuffisant"))</f>
        <v/>
      </c>
      <c r="L10" s="186">
        <f>IF(OR(F10="",G10=""),"",F10/G10-1)</f>
        <v/>
      </c>
      <c r="M10" s="49" t="inlineStr">
        <is>
          <t>Prêt</t>
        </is>
      </c>
      <c r="N10" s="105" t="inlineStr">
        <is>
          <t>Flag en formation, volume en contraction.</t>
        </is>
      </c>
    </row>
    <row r="11" ht="21" customHeight="1">
      <c r="B11" s="105" t="inlineStr">
        <is>
          <t>AVAX/USDT</t>
        </is>
      </c>
      <c r="C11" s="49" t="inlineStr">
        <is>
          <t>Long</t>
        </is>
      </c>
      <c r="D11" s="105" t="inlineStr">
        <is>
          <t>Range (rebond bas/haut)</t>
        </is>
      </c>
      <c r="E11" s="49" t="inlineStr">
        <is>
          <t>1D</t>
        </is>
      </c>
      <c r="F11" s="107" t="n">
        <v>30.5</v>
      </c>
      <c r="G11" s="107" t="n">
        <v>29.6</v>
      </c>
      <c r="H11" s="107" t="n">
        <v>28.2</v>
      </c>
      <c r="I11" s="107" t="n">
        <v>33.8</v>
      </c>
      <c r="J11" s="114">
        <f>IF(OR(G11="",H11="",I11="",G11=H11),"",ABS(I11-G11)/ABS(G11-H11))</f>
        <v/>
      </c>
      <c r="K11" s="51">
        <f>IF(J11="","",IF(J11&gt;='Paramètres'!$C$17,"✔ R:R conforme","✖ R:R insuffisant"))</f>
        <v/>
      </c>
      <c r="L11" s="186">
        <f>IF(OR(F11="",G11=""),"",F11/G11-1)</f>
        <v/>
      </c>
      <c r="M11" s="49" t="inlineStr">
        <is>
          <t>Invalidé</t>
        </is>
      </c>
      <c r="N11" s="105" t="inlineStr">
        <is>
          <t>Support cassé, scénario invalidé.</t>
        </is>
      </c>
    </row>
    <row r="12" ht="21" customHeight="1">
      <c r="B12" s="105" t="n"/>
      <c r="C12" s="49" t="n"/>
      <c r="D12" s="105" t="n"/>
      <c r="E12" s="49" t="n"/>
      <c r="F12" s="107" t="n"/>
      <c r="G12" s="107" t="n"/>
      <c r="H12" s="107" t="n"/>
      <c r="I12" s="107" t="n"/>
      <c r="J12" s="114">
        <f>IF(OR(G12="",H12="",I12="",G12=H12),"",ABS(I12-G12)/ABS(G12-H12))</f>
        <v/>
      </c>
      <c r="K12" s="51">
        <f>IF(J12="","",IF(J12&gt;='Paramètres'!$C$17,"✔ R:R conforme","✖ R:R insuffisant"))</f>
        <v/>
      </c>
      <c r="L12" s="186">
        <f>IF(OR(F12="",G12=""),"",F12/G12-1)</f>
        <v/>
      </c>
      <c r="M12" s="49" t="n"/>
      <c r="N12" s="105" t="n"/>
    </row>
    <row r="13" ht="21" customHeight="1">
      <c r="B13" s="105" t="n"/>
      <c r="C13" s="49" t="n"/>
      <c r="D13" s="105" t="n"/>
      <c r="E13" s="49" t="n"/>
      <c r="F13" s="107" t="n"/>
      <c r="G13" s="107" t="n"/>
      <c r="H13" s="107" t="n"/>
      <c r="I13" s="107" t="n"/>
      <c r="J13" s="114">
        <f>IF(OR(G13="",H13="",I13="",G13=H13),"",ABS(I13-G13)/ABS(G13-H13))</f>
        <v/>
      </c>
      <c r="K13" s="51">
        <f>IF(J13="","",IF(J13&gt;='Paramètres'!$C$17,"✔ R:R conforme","✖ R:R insuffisant"))</f>
        <v/>
      </c>
      <c r="L13" s="186">
        <f>IF(OR(F13="",G13=""),"",F13/G13-1)</f>
        <v/>
      </c>
      <c r="M13" s="49" t="n"/>
      <c r="N13" s="105" t="n"/>
    </row>
    <row r="14" ht="21" customHeight="1">
      <c r="B14" s="105" t="n"/>
      <c r="C14" s="49" t="n"/>
      <c r="D14" s="105" t="n"/>
      <c r="E14" s="49" t="n"/>
      <c r="F14" s="107" t="n"/>
      <c r="G14" s="107" t="n"/>
      <c r="H14" s="107" t="n"/>
      <c r="I14" s="107" t="n"/>
      <c r="J14" s="114">
        <f>IF(OR(G14="",H14="",I14="",G14=H14),"",ABS(I14-G14)/ABS(G14-H14))</f>
        <v/>
      </c>
      <c r="K14" s="51">
        <f>IF(J14="","",IF(J14&gt;='Paramètres'!$C$17,"✔ R:R conforme","✖ R:R insuffisant"))</f>
        <v/>
      </c>
      <c r="L14" s="186">
        <f>IF(OR(F14="",G14=""),"",F14/G14-1)</f>
        <v/>
      </c>
      <c r="M14" s="49" t="n"/>
      <c r="N14" s="105" t="n"/>
    </row>
    <row r="15" ht="21" customHeight="1">
      <c r="B15" s="105" t="n"/>
      <c r="C15" s="49" t="n"/>
      <c r="D15" s="105" t="n"/>
      <c r="E15" s="49" t="n"/>
      <c r="F15" s="107" t="n"/>
      <c r="G15" s="107" t="n"/>
      <c r="H15" s="107" t="n"/>
      <c r="I15" s="107" t="n"/>
      <c r="J15" s="114">
        <f>IF(OR(G15="",H15="",I15="",G15=H15),"",ABS(I15-G15)/ABS(G15-H15))</f>
        <v/>
      </c>
      <c r="K15" s="51">
        <f>IF(J15="","",IF(J15&gt;='Paramètres'!$C$17,"✔ R:R conforme","✖ R:R insuffisant"))</f>
        <v/>
      </c>
      <c r="L15" s="186">
        <f>IF(OR(F15="",G15=""),"",F15/G15-1)</f>
        <v/>
      </c>
      <c r="M15" s="49" t="n"/>
      <c r="N15" s="105" t="n"/>
    </row>
    <row r="16" ht="21" customHeight="1">
      <c r="B16" s="105" t="n"/>
      <c r="C16" s="49" t="n"/>
      <c r="D16" s="105" t="n"/>
      <c r="E16" s="49" t="n"/>
      <c r="F16" s="107" t="n"/>
      <c r="G16" s="107" t="n"/>
      <c r="H16" s="107" t="n"/>
      <c r="I16" s="107" t="n"/>
      <c r="J16" s="114">
        <f>IF(OR(G16="",H16="",I16="",G16=H16),"",ABS(I16-G16)/ABS(G16-H16))</f>
        <v/>
      </c>
      <c r="K16" s="51">
        <f>IF(J16="","",IF(J16&gt;='Paramètres'!$C$17,"✔ R:R conforme","✖ R:R insuffisant"))</f>
        <v/>
      </c>
      <c r="L16" s="186">
        <f>IF(OR(F16="",G16=""),"",F16/G16-1)</f>
        <v/>
      </c>
      <c r="M16" s="49" t="n"/>
      <c r="N16" s="105" t="n"/>
    </row>
    <row r="17" ht="21" customHeight="1">
      <c r="B17" s="105" t="n"/>
      <c r="C17" s="49" t="n"/>
      <c r="D17" s="105" t="n"/>
      <c r="E17" s="49" t="n"/>
      <c r="F17" s="107" t="n"/>
      <c r="G17" s="107" t="n"/>
      <c r="H17" s="107" t="n"/>
      <c r="I17" s="107" t="n"/>
      <c r="J17" s="114">
        <f>IF(OR(G17="",H17="",I17="",G17=H17),"",ABS(I17-G17)/ABS(G17-H17))</f>
        <v/>
      </c>
      <c r="K17" s="51">
        <f>IF(J17="","",IF(J17&gt;='Paramètres'!$C$17,"✔ R:R conforme","✖ R:R insuffisant"))</f>
        <v/>
      </c>
      <c r="L17" s="186">
        <f>IF(OR(F17="",G17=""),"",F17/G17-1)</f>
        <v/>
      </c>
      <c r="M17" s="49" t="n"/>
      <c r="N17" s="105" t="n"/>
    </row>
    <row r="18" ht="21" customHeight="1">
      <c r="B18" s="105" t="n"/>
      <c r="C18" s="49" t="n"/>
      <c r="D18" s="105" t="n"/>
      <c r="E18" s="49" t="n"/>
      <c r="F18" s="107" t="n"/>
      <c r="G18" s="107" t="n"/>
      <c r="H18" s="107" t="n"/>
      <c r="I18" s="107" t="n"/>
      <c r="J18" s="114">
        <f>IF(OR(G18="",H18="",I18="",G18=H18),"",ABS(I18-G18)/ABS(G18-H18))</f>
        <v/>
      </c>
      <c r="K18" s="51">
        <f>IF(J18="","",IF(J18&gt;='Paramètres'!$C$17,"✔ R:R conforme","✖ R:R insuffisant"))</f>
        <v/>
      </c>
      <c r="L18" s="186">
        <f>IF(OR(F18="",G18=""),"",F18/G18-1)</f>
        <v/>
      </c>
      <c r="M18" s="49" t="n"/>
      <c r="N18" s="105" t="n"/>
    </row>
    <row r="19" ht="21" customHeight="1">
      <c r="B19" s="105" t="n"/>
      <c r="C19" s="49" t="n"/>
      <c r="D19" s="105" t="n"/>
      <c r="E19" s="49" t="n"/>
      <c r="F19" s="107" t="n"/>
      <c r="G19" s="107" t="n"/>
      <c r="H19" s="107" t="n"/>
      <c r="I19" s="107" t="n"/>
      <c r="J19" s="114">
        <f>IF(OR(G19="",H19="",I19="",G19=H19),"",ABS(I19-G19)/ABS(G19-H19))</f>
        <v/>
      </c>
      <c r="K19" s="51">
        <f>IF(J19="","",IF(J19&gt;='Paramètres'!$C$17,"✔ R:R conforme","✖ R:R insuffisant"))</f>
        <v/>
      </c>
      <c r="L19" s="186">
        <f>IF(OR(F19="",G19=""),"",F19/G19-1)</f>
        <v/>
      </c>
      <c r="M19" s="49" t="n"/>
      <c r="N19" s="105" t="n"/>
    </row>
    <row r="20" ht="21" customHeight="1">
      <c r="B20" s="105" t="n"/>
      <c r="C20" s="49" t="n"/>
      <c r="D20" s="105" t="n"/>
      <c r="E20" s="49" t="n"/>
      <c r="F20" s="107" t="n"/>
      <c r="G20" s="107" t="n"/>
      <c r="H20" s="107" t="n"/>
      <c r="I20" s="107" t="n"/>
      <c r="J20" s="114">
        <f>IF(OR(G20="",H20="",I20="",G20=H20),"",ABS(I20-G20)/ABS(G20-H20))</f>
        <v/>
      </c>
      <c r="K20" s="51">
        <f>IF(J20="","",IF(J20&gt;='Paramètres'!$C$17,"✔ R:R conforme","✖ R:R insuffisant"))</f>
        <v/>
      </c>
      <c r="L20" s="186">
        <f>IF(OR(F20="",G20=""),"",F20/G20-1)</f>
        <v/>
      </c>
      <c r="M20" s="49" t="n"/>
      <c r="N20" s="105" t="n"/>
    </row>
    <row r="21" ht="21" customHeight="1">
      <c r="B21" s="105" t="n"/>
      <c r="C21" s="49" t="n"/>
      <c r="D21" s="105" t="n"/>
      <c r="E21" s="49" t="n"/>
      <c r="F21" s="107" t="n"/>
      <c r="G21" s="107" t="n"/>
      <c r="H21" s="107" t="n"/>
      <c r="I21" s="107" t="n"/>
      <c r="J21" s="114">
        <f>IF(OR(G21="",H21="",I21="",G21=H21),"",ABS(I21-G21)/ABS(G21-H21))</f>
        <v/>
      </c>
      <c r="K21" s="51">
        <f>IF(J21="","",IF(J21&gt;='Paramètres'!$C$17,"✔ R:R conforme","✖ R:R insuffisant"))</f>
        <v/>
      </c>
      <c r="L21" s="186">
        <f>IF(OR(F21="",G21=""),"",F21/G21-1)</f>
        <v/>
      </c>
      <c r="M21" s="49" t="n"/>
      <c r="N21" s="105" t="n"/>
    </row>
    <row r="22" ht="21" customHeight="1">
      <c r="B22" s="105" t="n"/>
      <c r="C22" s="49" t="n"/>
      <c r="D22" s="105" t="n"/>
      <c r="E22" s="49" t="n"/>
      <c r="F22" s="107" t="n"/>
      <c r="G22" s="107" t="n"/>
      <c r="H22" s="107" t="n"/>
      <c r="I22" s="107" t="n"/>
      <c r="J22" s="114">
        <f>IF(OR(G22="",H22="",I22="",G22=H22),"",ABS(I22-G22)/ABS(G22-H22))</f>
        <v/>
      </c>
      <c r="K22" s="51">
        <f>IF(J22="","",IF(J22&gt;='Paramètres'!$C$17,"✔ R:R conforme","✖ R:R insuffisant"))</f>
        <v/>
      </c>
      <c r="L22" s="186">
        <f>IF(OR(F22="",G22=""),"",F22/G22-1)</f>
        <v/>
      </c>
      <c r="M22" s="49" t="n"/>
      <c r="N22" s="105" t="n"/>
    </row>
    <row r="23" ht="21" customHeight="1">
      <c r="B23" s="105" t="n"/>
      <c r="C23" s="49" t="n"/>
      <c r="D23" s="105" t="n"/>
      <c r="E23" s="49" t="n"/>
      <c r="F23" s="107" t="n"/>
      <c r="G23" s="107" t="n"/>
      <c r="H23" s="107" t="n"/>
      <c r="I23" s="107" t="n"/>
      <c r="J23" s="114">
        <f>IF(OR(G23="",H23="",I23="",G23=H23),"",ABS(I23-G23)/ABS(G23-H23))</f>
        <v/>
      </c>
      <c r="K23" s="51">
        <f>IF(J23="","",IF(J23&gt;='Paramètres'!$C$17,"✔ R:R conforme","✖ R:R insuffisant"))</f>
        <v/>
      </c>
      <c r="L23" s="186">
        <f>IF(OR(F23="",G23=""),"",F23/G23-1)</f>
        <v/>
      </c>
      <c r="M23" s="49" t="n"/>
      <c r="N23" s="105" t="n"/>
    </row>
    <row r="24" ht="21" customHeight="1">
      <c r="B24" s="105" t="n"/>
      <c r="C24" s="49" t="n"/>
      <c r="D24" s="105" t="n"/>
      <c r="E24" s="49" t="n"/>
      <c r="F24" s="107" t="n"/>
      <c r="G24" s="107" t="n"/>
      <c r="H24" s="107" t="n"/>
      <c r="I24" s="107" t="n"/>
      <c r="J24" s="114">
        <f>IF(OR(G24="",H24="",I24="",G24=H24),"",ABS(I24-G24)/ABS(G24-H24))</f>
        <v/>
      </c>
      <c r="K24" s="51">
        <f>IF(J24="","",IF(J24&gt;='Paramètres'!$C$17,"✔ R:R conforme","✖ R:R insuffisant"))</f>
        <v/>
      </c>
      <c r="L24" s="186">
        <f>IF(OR(F24="",G24=""),"",F24/G24-1)</f>
        <v/>
      </c>
      <c r="M24" s="49" t="n"/>
      <c r="N24" s="105" t="n"/>
    </row>
    <row r="25" ht="21" customHeight="1">
      <c r="B25" s="105" t="n"/>
      <c r="C25" s="49" t="n"/>
      <c r="D25" s="105" t="n"/>
      <c r="E25" s="49" t="n"/>
      <c r="F25" s="107" t="n"/>
      <c r="G25" s="107" t="n"/>
      <c r="H25" s="107" t="n"/>
      <c r="I25" s="107" t="n"/>
      <c r="J25" s="114">
        <f>IF(OR(G25="",H25="",I25="",G25=H25),"",ABS(I25-G25)/ABS(G25-H25))</f>
        <v/>
      </c>
      <c r="K25" s="51">
        <f>IF(J25="","",IF(J25&gt;='Paramètres'!$C$17,"✔ R:R conforme","✖ R:R insuffisant"))</f>
        <v/>
      </c>
      <c r="L25" s="186">
        <f>IF(OR(F25="",G25=""),"",F25/G25-1)</f>
        <v/>
      </c>
      <c r="M25" s="49" t="n"/>
      <c r="N25" s="105" t="n"/>
    </row>
    <row r="26" ht="21" customHeight="1">
      <c r="B26" s="105" t="n"/>
      <c r="C26" s="49" t="n"/>
      <c r="D26" s="105" t="n"/>
      <c r="E26" s="49" t="n"/>
      <c r="F26" s="107" t="n"/>
      <c r="G26" s="107" t="n"/>
      <c r="H26" s="107" t="n"/>
      <c r="I26" s="107" t="n"/>
      <c r="J26" s="114">
        <f>IF(OR(G26="",H26="",I26="",G26=H26),"",ABS(I26-G26)/ABS(G26-H26))</f>
        <v/>
      </c>
      <c r="K26" s="51">
        <f>IF(J26="","",IF(J26&gt;='Paramètres'!$C$17,"✔ R:R conforme","✖ R:R insuffisant"))</f>
        <v/>
      </c>
      <c r="L26" s="186">
        <f>IF(OR(F26="",G26=""),"",F26/G26-1)</f>
        <v/>
      </c>
      <c r="M26" s="49" t="n"/>
      <c r="N26" s="105" t="n"/>
    </row>
    <row r="27" ht="21" customHeight="1">
      <c r="B27" s="105" t="n"/>
      <c r="C27" s="49" t="n"/>
      <c r="D27" s="105" t="n"/>
      <c r="E27" s="49" t="n"/>
      <c r="F27" s="107" t="n"/>
      <c r="G27" s="107" t="n"/>
      <c r="H27" s="107" t="n"/>
      <c r="I27" s="107" t="n"/>
      <c r="J27" s="114">
        <f>IF(OR(G27="",H27="",I27="",G27=H27),"",ABS(I27-G27)/ABS(G27-H27))</f>
        <v/>
      </c>
      <c r="K27" s="51">
        <f>IF(J27="","",IF(J27&gt;='Paramètres'!$C$17,"✔ R:R conforme","✖ R:R insuffisant"))</f>
        <v/>
      </c>
      <c r="L27" s="186">
        <f>IF(OR(F27="",G27=""),"",F27/G27-1)</f>
        <v/>
      </c>
      <c r="M27" s="49" t="n"/>
      <c r="N27" s="105" t="n"/>
    </row>
    <row r="28" ht="21" customHeight="1">
      <c r="B28" s="105" t="n"/>
      <c r="C28" s="49" t="n"/>
      <c r="D28" s="105" t="n"/>
      <c r="E28" s="49" t="n"/>
      <c r="F28" s="107" t="n"/>
      <c r="G28" s="107" t="n"/>
      <c r="H28" s="107" t="n"/>
      <c r="I28" s="107" t="n"/>
      <c r="J28" s="114">
        <f>IF(OR(G28="",H28="",I28="",G28=H28),"",ABS(I28-G28)/ABS(G28-H28))</f>
        <v/>
      </c>
      <c r="K28" s="51">
        <f>IF(J28="","",IF(J28&gt;='Paramètres'!$C$17,"✔ R:R conforme","✖ R:R insuffisant"))</f>
        <v/>
      </c>
      <c r="L28" s="186">
        <f>IF(OR(F28="",G28=""),"",F28/G28-1)</f>
        <v/>
      </c>
      <c r="M28" s="49" t="n"/>
      <c r="N28" s="105" t="n"/>
    </row>
    <row r="29" ht="21" customHeight="1">
      <c r="B29" s="105" t="n"/>
      <c r="C29" s="49" t="n"/>
      <c r="D29" s="105" t="n"/>
      <c r="E29" s="49" t="n"/>
      <c r="F29" s="107" t="n"/>
      <c r="G29" s="107" t="n"/>
      <c r="H29" s="107" t="n"/>
      <c r="I29" s="107" t="n"/>
      <c r="J29" s="114">
        <f>IF(OR(G29="",H29="",I29="",G29=H29),"",ABS(I29-G29)/ABS(G29-H29))</f>
        <v/>
      </c>
      <c r="K29" s="51">
        <f>IF(J29="","",IF(J29&gt;='Paramètres'!$C$17,"✔ R:R conforme","✖ R:R insuffisant"))</f>
        <v/>
      </c>
      <c r="L29" s="186">
        <f>IF(OR(F29="",G29=""),"",F29/G29-1)</f>
        <v/>
      </c>
      <c r="M29" s="49" t="n"/>
      <c r="N29" s="105" t="n"/>
    </row>
    <row r="30" ht="21" customHeight="1">
      <c r="B30" s="105" t="n"/>
      <c r="C30" s="49" t="n"/>
      <c r="D30" s="105" t="n"/>
      <c r="E30" s="49" t="n"/>
      <c r="F30" s="107" t="n"/>
      <c r="G30" s="107" t="n"/>
      <c r="H30" s="107" t="n"/>
      <c r="I30" s="107" t="n"/>
      <c r="J30" s="114">
        <f>IF(OR(G30="",H30="",I30="",G30=H30),"",ABS(I30-G30)/ABS(G30-H30))</f>
        <v/>
      </c>
      <c r="K30" s="51">
        <f>IF(J30="","",IF(J30&gt;='Paramètres'!$C$17,"✔ R:R conforme","✖ R:R insuffisant"))</f>
        <v/>
      </c>
      <c r="L30" s="186">
        <f>IF(OR(F30="",G30=""),"",F30/G30-1)</f>
        <v/>
      </c>
      <c r="M30" s="49" t="n"/>
      <c r="N30" s="105" t="n"/>
    </row>
    <row r="31" ht="21" customHeight="1">
      <c r="B31" s="105" t="n"/>
      <c r="C31" s="49" t="n"/>
      <c r="D31" s="105" t="n"/>
      <c r="E31" s="49" t="n"/>
      <c r="F31" s="107" t="n"/>
      <c r="G31" s="107" t="n"/>
      <c r="H31" s="107" t="n"/>
      <c r="I31" s="107" t="n"/>
      <c r="J31" s="114">
        <f>IF(OR(G31="",H31="",I31="",G31=H31),"",ABS(I31-G31)/ABS(G31-H31))</f>
        <v/>
      </c>
      <c r="K31" s="51">
        <f>IF(J31="","",IF(J31&gt;='Paramètres'!$C$17,"✔ R:R conforme","✖ R:R insuffisant"))</f>
        <v/>
      </c>
      <c r="L31" s="186">
        <f>IF(OR(F31="",G31=""),"",F31/G31-1)</f>
        <v/>
      </c>
      <c r="M31" s="49" t="n"/>
      <c r="N31" s="105" t="n"/>
    </row>
    <row r="32" ht="21" customHeight="1">
      <c r="B32" s="105" t="n"/>
      <c r="C32" s="49" t="n"/>
      <c r="D32" s="105" t="n"/>
      <c r="E32" s="49" t="n"/>
      <c r="F32" s="107" t="n"/>
      <c r="G32" s="107" t="n"/>
      <c r="H32" s="107" t="n"/>
      <c r="I32" s="107" t="n"/>
      <c r="J32" s="114">
        <f>IF(OR(G32="",H32="",I32="",G32=H32),"",ABS(I32-G32)/ABS(G32-H32))</f>
        <v/>
      </c>
      <c r="K32" s="51">
        <f>IF(J32="","",IF(J32&gt;='Paramètres'!$C$17,"✔ R:R conforme","✖ R:R insuffisant"))</f>
        <v/>
      </c>
      <c r="L32" s="186">
        <f>IF(OR(F32="",G32=""),"",F32/G32-1)</f>
        <v/>
      </c>
      <c r="M32" s="49" t="n"/>
      <c r="N32" s="105" t="n"/>
    </row>
    <row r="33" ht="21" customHeight="1">
      <c r="B33" s="105" t="n"/>
      <c r="C33" s="49" t="n"/>
      <c r="D33" s="105" t="n"/>
      <c r="E33" s="49" t="n"/>
      <c r="F33" s="107" t="n"/>
      <c r="G33" s="107" t="n"/>
      <c r="H33" s="107" t="n"/>
      <c r="I33" s="107" t="n"/>
      <c r="J33" s="114">
        <f>IF(OR(G33="",H33="",I33="",G33=H33),"",ABS(I33-G33)/ABS(G33-H33))</f>
        <v/>
      </c>
      <c r="K33" s="51">
        <f>IF(J33="","",IF(J33&gt;='Paramètres'!$C$17,"✔ R:R conforme","✖ R:R insuffisant"))</f>
        <v/>
      </c>
      <c r="L33" s="186">
        <f>IF(OR(F33="",G33=""),"",F33/G33-1)</f>
        <v/>
      </c>
      <c r="M33" s="49" t="n"/>
      <c r="N33" s="105" t="n"/>
    </row>
    <row r="34" ht="21" customHeight="1">
      <c r="B34" s="105" t="n"/>
      <c r="C34" s="49" t="n"/>
      <c r="D34" s="105" t="n"/>
      <c r="E34" s="49" t="n"/>
      <c r="F34" s="107" t="n"/>
      <c r="G34" s="107" t="n"/>
      <c r="H34" s="107" t="n"/>
      <c r="I34" s="107" t="n"/>
      <c r="J34" s="114">
        <f>IF(OR(G34="",H34="",I34="",G34=H34),"",ABS(I34-G34)/ABS(G34-H34))</f>
        <v/>
      </c>
      <c r="K34" s="51">
        <f>IF(J34="","",IF(J34&gt;='Paramètres'!$C$17,"✔ R:R conforme","✖ R:R insuffisant"))</f>
        <v/>
      </c>
      <c r="L34" s="186">
        <f>IF(OR(F34="",G34=""),"",F34/G34-1)</f>
        <v/>
      </c>
      <c r="M34" s="49" t="n"/>
      <c r="N34" s="105" t="n"/>
    </row>
    <row r="35" ht="21" customHeight="1">
      <c r="B35" s="105" t="n"/>
      <c r="C35" s="49" t="n"/>
      <c r="D35" s="105" t="n"/>
      <c r="E35" s="49" t="n"/>
      <c r="F35" s="107" t="n"/>
      <c r="G35" s="107" t="n"/>
      <c r="H35" s="107" t="n"/>
      <c r="I35" s="107" t="n"/>
      <c r="J35" s="114">
        <f>IF(OR(G35="",H35="",I35="",G35=H35),"",ABS(I35-G35)/ABS(G35-H35))</f>
        <v/>
      </c>
      <c r="K35" s="51">
        <f>IF(J35="","",IF(J35&gt;='Paramètres'!$C$17,"✔ R:R conforme","✖ R:R insuffisant"))</f>
        <v/>
      </c>
      <c r="L35" s="186">
        <f>IF(OR(F35="",G35=""),"",F35/G35-1)</f>
        <v/>
      </c>
      <c r="M35" s="49" t="n"/>
      <c r="N35" s="105" t="n"/>
    </row>
    <row r="36" ht="21" customHeight="1">
      <c r="B36" s="105" t="n"/>
      <c r="C36" s="49" t="n"/>
      <c r="D36" s="105" t="n"/>
      <c r="E36" s="49" t="n"/>
      <c r="F36" s="107" t="n"/>
      <c r="G36" s="107" t="n"/>
      <c r="H36" s="107" t="n"/>
      <c r="I36" s="107" t="n"/>
      <c r="J36" s="114">
        <f>IF(OR(G36="",H36="",I36="",G36=H36),"",ABS(I36-G36)/ABS(G36-H36))</f>
        <v/>
      </c>
      <c r="K36" s="51">
        <f>IF(J36="","",IF(J36&gt;='Paramètres'!$C$17,"✔ R:R conforme","✖ R:R insuffisant"))</f>
        <v/>
      </c>
      <c r="L36" s="186">
        <f>IF(OR(F36="",G36=""),"",F36/G36-1)</f>
        <v/>
      </c>
      <c r="M36" s="49" t="n"/>
      <c r="N36" s="105" t="n"/>
    </row>
  </sheetData>
  <mergeCells count="1">
    <mergeCell ref="M2:N2"/>
  </mergeCells>
  <conditionalFormatting sqref="K7:K36">
    <cfRule type="expression" priority="1" dxfId="7">
      <formula>LEFT(K7,1)="✔"</formula>
    </cfRule>
    <cfRule type="expression" priority="2" dxfId="6">
      <formula>LEFT(K7,1)="✖"</formula>
    </cfRule>
  </conditionalFormatting>
  <conditionalFormatting sqref="M7:M36">
    <cfRule type="cellIs" priority="3" operator="equal" dxfId="8">
      <formula>"Prêt"</formula>
    </cfRule>
    <cfRule type="cellIs" priority="4" operator="equal" dxfId="13">
      <formula>"À surveiller"</formula>
    </cfRule>
    <cfRule type="cellIs" priority="5" operator="equal" dxfId="10">
      <formula>"Entré"</formula>
    </cfRule>
    <cfRule type="cellIs" priority="6" operator="equal" dxfId="9">
      <formula>"Invalidé"</formula>
    </cfRule>
  </conditionalFormatting>
  <dataValidations count="4">
    <dataValidation sqref="C7:C36" showDropDown="0" showInputMessage="0" showErrorMessage="0" allowBlank="1" type="list">
      <formula1>'Listes'!$G$6:$G$7</formula1>
    </dataValidation>
    <dataValidation sqref="D7:D36" showDropDown="0" showInputMessage="0" showErrorMessage="0" allowBlank="1" type="list">
      <formula1>'Listes'!$B$6:$B$25</formula1>
    </dataValidation>
    <dataValidation sqref="E7:E36" showDropDown="0" showInputMessage="0" showErrorMessage="0" allowBlank="1" type="list">
      <formula1>'Listes'!$C$6:$C$25</formula1>
    </dataValidation>
    <dataValidation sqref="M7:M36" showDropDown="0" showInputMessage="0" showErrorMessage="0" allowBlank="1" type="list">
      <formula1>'Listes'!$I$6:$I$9</formula1>
    </dataValidation>
  </dataValidations>
  <hyperlinks>
    <hyperlink ref="M2" location="'Accueil'!A1" display="Accueil"/>
  </hyperlinks>
  <printOptions horizontalCentered="1"/>
  <pageMargins left="0.75" right="0.75" top="1" bottom="1" header="0.5" footer="0.5"/>
  <pageSetup orientation="landscape" fitToHeight="0" fitToWidth="1"/>
</worksheet>
</file>

<file path=xl/worksheets/sheet10.xml><?xml version="1.0" encoding="utf-8"?>
<worksheet xmlns="http://schemas.openxmlformats.org/spreadsheetml/2006/main">
  <sheetPr>
    <tabColor rgb="003B82F6"/>
    <outlinePr summaryBelow="1" summaryRight="1"/>
    <pageSetUpPr fitToPage="1"/>
  </sheetPr>
  <dimension ref="A1:H68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40" customWidth="1" min="2" max="2"/>
    <col width="18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2" customHeight="1">
      <c r="A1" s="1" t="n"/>
      <c r="B1" s="2">
        <f>'Paramètres'!$C$7</f>
        <v/>
      </c>
      <c r="C1" s="1" t="n"/>
      <c r="D1" s="1" t="n"/>
      <c r="E1" s="1" t="n"/>
      <c r="F1" s="1" t="n"/>
      <c r="G1" s="1" t="n"/>
      <c r="H1" s="1" t="n"/>
    </row>
    <row r="2" ht="30" customHeight="1">
      <c r="A2" s="1" t="n"/>
      <c r="B2" s="32" t="inlineStr">
        <is>
          <t>Calculateur de trade</t>
        </is>
      </c>
      <c r="C2" s="1" t="n"/>
      <c r="D2" s="1" t="n"/>
      <c r="E2" s="1" t="n"/>
      <c r="F2" s="1" t="n"/>
      <c r="G2" s="33" t="inlineStr">
        <is>
          <t>← Accueil</t>
        </is>
      </c>
      <c r="H2" s="1" t="n"/>
    </row>
    <row r="3" ht="18" customHeight="1">
      <c r="A3" s="1" t="n"/>
      <c r="B3" s="4" t="inlineStr">
        <is>
          <t>Taille de position, stop ATR, sorties partielles, Fibonacci et simulateur d'espérance.</t>
        </is>
      </c>
      <c r="C3" s="1" t="n"/>
      <c r="D3" s="1" t="n"/>
      <c r="E3" s="1" t="n"/>
      <c r="F3" s="1" t="n"/>
      <c r="G3" s="1" t="n"/>
      <c r="H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</row>
    <row r="6" ht="24" customHeight="1">
      <c r="B6" s="14" t="inlineStr">
        <is>
          <t>1 · TAILLE DE POSITION</t>
        </is>
      </c>
      <c r="C6" s="15" t="n"/>
      <c r="D6" s="15" t="n"/>
      <c r="E6" s="15" t="n"/>
      <c r="F6" s="15" t="n"/>
      <c r="G6" s="15" t="n"/>
      <c r="H6" s="15" t="n"/>
    </row>
    <row r="7" ht="23" customHeight="1">
      <c r="B7" s="118" t="inlineStr">
        <is>
          <t>Sens du trade</t>
        </is>
      </c>
      <c r="C7" s="49" t="inlineStr">
        <is>
          <t>Long</t>
        </is>
      </c>
      <c r="D7" s="59" t="inlineStr">
        <is>
          <t>Long si tu profites d'une hausse, Short pour une baisse.</t>
        </is>
      </c>
      <c r="E7" s="59" t="n"/>
      <c r="F7" s="59" t="n"/>
      <c r="G7" s="59" t="n"/>
      <c r="H7" s="59" t="n"/>
    </row>
    <row r="8" ht="23" customHeight="1">
      <c r="B8" s="118" t="inlineStr">
        <is>
          <t>Capital utilisé</t>
        </is>
      </c>
      <c r="C8" s="60">
        <f>'Analyse'!$C$10</f>
        <v/>
      </c>
      <c r="D8" s="59" t="inlineStr">
        <is>
          <t>Lié à ton capital actuel. Remplace par une valeur pour simuler.</t>
        </is>
      </c>
      <c r="E8" s="59" t="n"/>
      <c r="F8" s="59" t="n"/>
      <c r="G8" s="59" t="n"/>
      <c r="H8" s="59" t="n"/>
    </row>
    <row r="9" ht="23" customHeight="1">
      <c r="B9" s="118" t="inlineStr">
        <is>
          <t>Risque par trade</t>
        </is>
      </c>
      <c r="C9" s="63">
        <f>'Paramètres'!$C$16</f>
        <v/>
      </c>
      <c r="D9" s="59" t="inlineStr">
        <is>
          <t>Lu dans Paramètres.</t>
        </is>
      </c>
      <c r="E9" s="59" t="n"/>
      <c r="F9" s="59" t="n"/>
      <c r="G9" s="59" t="n"/>
      <c r="H9" s="59" t="n"/>
    </row>
    <row r="10" ht="23" customHeight="1">
      <c r="B10" s="118" t="inlineStr">
        <is>
          <t>Prix d'entrée</t>
        </is>
      </c>
      <c r="C10" s="187" t="n">
        <v>100</v>
      </c>
      <c r="D10" s="59" t="inlineStr">
        <is>
          <t>Prix auquel tu prévois d'entrer.</t>
        </is>
      </c>
      <c r="E10" s="59" t="n"/>
      <c r="F10" s="59" t="n"/>
      <c r="G10" s="59" t="n"/>
      <c r="H10" s="59" t="n"/>
    </row>
    <row r="11" ht="23" customHeight="1">
      <c r="B11" s="118" t="inlineStr">
        <is>
          <t>Stop-loss</t>
        </is>
      </c>
      <c r="C11" s="187" t="n">
        <v>95</v>
      </c>
      <c r="D11" s="59" t="inlineStr">
        <is>
          <t>Niveau qui invalide ton scénario.</t>
        </is>
      </c>
      <c r="E11" s="59" t="n"/>
      <c r="F11" s="59" t="n"/>
      <c r="G11" s="59" t="n"/>
      <c r="H11" s="59" t="n"/>
    </row>
    <row r="12" ht="23" customHeight="1">
      <c r="B12" s="118" t="inlineStr">
        <is>
          <t>Objectif</t>
        </is>
      </c>
      <c r="C12" s="187" t="n">
        <v>112</v>
      </c>
      <c r="D12" s="59" t="inlineStr">
        <is>
          <t>Prix cible de la sortie.</t>
        </is>
      </c>
      <c r="E12" s="59" t="n"/>
      <c r="F12" s="59" t="n"/>
      <c r="G12" s="59" t="n"/>
      <c r="H12" s="59" t="n"/>
    </row>
    <row r="13" ht="23" customHeight="1">
      <c r="B13" s="118" t="inlineStr">
        <is>
          <t>Frais par transaction</t>
        </is>
      </c>
      <c r="C13" s="65">
        <f>'Paramètres'!$C$18</f>
        <v/>
      </c>
      <c r="D13" s="59" t="inlineStr">
        <is>
          <t>Appliqués à l'entrée et à la sortie.</t>
        </is>
      </c>
      <c r="E13" s="59" t="n"/>
      <c r="F13" s="59" t="n"/>
      <c r="G13" s="59" t="n"/>
      <c r="H13" s="59" t="n"/>
    </row>
    <row r="14">
      <c r="B14" s="188" t="inlineStr">
        <is>
          <t>RÉSULTATS</t>
        </is>
      </c>
      <c r="C14" s="188" t="n"/>
    </row>
    <row r="15" ht="23" customHeight="1">
      <c r="B15" s="118" t="inlineStr">
        <is>
          <t>Risque autorisé</t>
        </is>
      </c>
      <c r="C15" s="119">
        <f>C8*C9</f>
        <v/>
      </c>
      <c r="D15" s="59" t="inlineStr">
        <is>
          <t>Capital × risque par trade.</t>
        </is>
      </c>
      <c r="E15" s="59" t="n"/>
      <c r="F15" s="59" t="n"/>
      <c r="G15" s="59" t="n"/>
      <c r="H15" s="59" t="n"/>
    </row>
    <row r="16" ht="23" customHeight="1">
      <c r="B16" s="118" t="inlineStr">
        <is>
          <t>Distance au stop</t>
        </is>
      </c>
      <c r="C16" s="189">
        <f>IFERROR(ABS(C10-C11)/C10,0)</f>
        <v/>
      </c>
      <c r="D16" s="59" t="inlineStr">
        <is>
          <t>Écart entrée / stop en pourcentage.</t>
        </is>
      </c>
      <c r="E16" s="59" t="n"/>
      <c r="F16" s="59" t="n"/>
      <c r="G16" s="59" t="n"/>
      <c r="H16" s="59" t="n"/>
    </row>
    <row r="17" ht="23" customHeight="1">
      <c r="B17" s="118" t="inlineStr">
        <is>
          <t>Quantité à acheter / vendre</t>
        </is>
      </c>
      <c r="C17" s="190">
        <f>IFERROR(C15/ABS(C10-C11),0)</f>
        <v/>
      </c>
      <c r="D17" s="59" t="inlineStr">
        <is>
          <t>Risque autorisé divisé par la distance au stop.</t>
        </is>
      </c>
      <c r="E17" s="59" t="n"/>
      <c r="F17" s="59" t="n"/>
      <c r="G17" s="59" t="n"/>
      <c r="H17" s="59" t="n"/>
    </row>
    <row r="18" ht="23" customHeight="1">
      <c r="B18" s="118" t="inlineStr">
        <is>
          <t>Valeur de la position</t>
        </is>
      </c>
      <c r="C18" s="191">
        <f>C17*C10</f>
        <v/>
      </c>
      <c r="D18" s="59" t="inlineStr">
        <is>
          <t>Quantité × prix d'entrée.</t>
        </is>
      </c>
      <c r="E18" s="59" t="n"/>
      <c r="F18" s="59" t="n"/>
      <c r="G18" s="59" t="n"/>
      <c r="H18" s="59" t="n"/>
    </row>
    <row r="19" ht="23" customHeight="1">
      <c r="B19" s="118" t="inlineStr">
        <is>
          <t>Part du capital engagée</t>
        </is>
      </c>
      <c r="C19" s="189">
        <f>IFERROR(C18/C8,0)</f>
        <v/>
      </c>
      <c r="D19" s="59" t="inlineStr">
        <is>
          <t>Exposition totale de la position.</t>
        </is>
      </c>
      <c r="E19" s="59" t="n"/>
      <c r="F19" s="59" t="n"/>
      <c r="G19" s="59" t="n"/>
      <c r="H19" s="59" t="n"/>
    </row>
    <row r="20" ht="23" customHeight="1">
      <c r="B20" s="118" t="inlineStr">
        <is>
          <t>Levier requis</t>
        </is>
      </c>
      <c r="C20" s="192">
        <f>IFERROR(MAX(1,C18/C8),1)</f>
        <v/>
      </c>
      <c r="D20" s="59" t="inlineStr">
        <is>
          <t>x1,0 = aucun levier nécessaire.</t>
        </is>
      </c>
      <c r="E20" s="59" t="n"/>
      <c r="F20" s="59" t="n"/>
      <c r="G20" s="59" t="n"/>
      <c r="H20" s="59" t="n"/>
    </row>
    <row r="21" ht="23" customHeight="1">
      <c r="B21" s="118" t="inlineStr">
        <is>
          <t>Frais estimés (aller-retour)</t>
        </is>
      </c>
      <c r="C21" s="191">
        <f>C18*C13*2</f>
        <v/>
      </c>
      <c r="D21" s="59" t="inlineStr">
        <is>
          <t>Entrée + sortie.</t>
        </is>
      </c>
      <c r="E21" s="59" t="n"/>
      <c r="F21" s="59" t="n"/>
      <c r="G21" s="59" t="n"/>
      <c r="H21" s="59" t="n"/>
    </row>
    <row r="22" ht="23" customHeight="1">
      <c r="B22" s="118" t="inlineStr">
        <is>
          <t>Perte au stop (frais inclus)</t>
        </is>
      </c>
      <c r="C22" s="191">
        <f>C17*ABS(C10-C11)+C21</f>
        <v/>
      </c>
      <c r="D22" s="59" t="inlineStr">
        <is>
          <t>Ce que tu perds réellement si le stop est touché.</t>
        </is>
      </c>
      <c r="E22" s="59" t="n"/>
      <c r="F22" s="59" t="n"/>
      <c r="G22" s="59" t="n"/>
      <c r="H22" s="59" t="n"/>
    </row>
    <row r="23" ht="23" customHeight="1">
      <c r="B23" s="118" t="inlineStr">
        <is>
          <t>Gain à l'objectif (net de frais)</t>
        </is>
      </c>
      <c r="C23" s="191">
        <f>C17*ABS(C12-C10)-C21</f>
        <v/>
      </c>
      <c r="D23" s="59" t="inlineStr">
        <is>
          <t>Ce que tu gagnes si l'objectif est atteint.</t>
        </is>
      </c>
      <c r="E23" s="59" t="n"/>
      <c r="F23" s="59" t="n"/>
      <c r="G23" s="59" t="n"/>
      <c r="H23" s="59" t="n"/>
    </row>
    <row r="24" ht="23" customHeight="1">
      <c r="B24" s="118" t="inlineStr">
        <is>
          <t>R:R brut</t>
        </is>
      </c>
      <c r="C24" s="132">
        <f>IFERROR(ABS(C12-C10)/ABS(C10-C11),0)</f>
        <v/>
      </c>
      <c r="D24" s="59" t="inlineStr">
        <is>
          <t>Avant frais.</t>
        </is>
      </c>
      <c r="E24" s="59" t="n"/>
      <c r="F24" s="59" t="n"/>
      <c r="G24" s="59" t="n"/>
      <c r="H24" s="59" t="n"/>
    </row>
    <row r="25" ht="23" customHeight="1">
      <c r="B25" s="118" t="inlineStr">
        <is>
          <t>R:R net</t>
        </is>
      </c>
      <c r="C25" s="132">
        <f>IFERROR(C23/C22,0)</f>
        <v/>
      </c>
      <c r="D25" s="59" t="inlineStr">
        <is>
          <t>Après frais : la valeur à retenir.</t>
        </is>
      </c>
      <c r="E25" s="59" t="n"/>
      <c r="F25" s="59" t="n"/>
      <c r="G25" s="59" t="n"/>
      <c r="H25" s="59" t="n"/>
    </row>
    <row r="26" ht="23" customHeight="1">
      <c r="B26" s="118" t="inlineStr">
        <is>
          <t>Taux de réussite d'équilibre</t>
        </is>
      </c>
      <c r="C26" s="189">
        <f>IFERROR(1/(1+C24),0)</f>
        <v/>
      </c>
      <c r="D26" s="59" t="inlineStr">
        <is>
          <t>Taux de réussite minimal pour ne pas perdre d'argent avec ce R:R.</t>
        </is>
      </c>
      <c r="E26" s="59" t="n"/>
      <c r="F26" s="59" t="n"/>
      <c r="G26" s="59" t="n"/>
      <c r="H26" s="59" t="n"/>
    </row>
    <row r="27" ht="36" customHeight="1">
      <c r="B27" s="193">
        <f>IF(OR(C10="",C11="",C12=""),"Renseigne entrée, stop et objectif.",IF(OR(AND(C7="Long",OR(C11&gt;=C10,C12&lt;=C10)),AND(C7="Short",OR(C11&lt;=C10,C12&gt;=C10))),"Incohérence : vérifie la position du stop et de l'objectif par rapport au sens du trade.",IF(C24&lt;'Paramètres'!$C$17,"R:R de "&amp;ROUND(C24,2)&amp;" inférieur à ton minimum de "&amp;'Paramètres'!$C$17&amp;" : trade à ignorer ou à repositionner.",IF(C20&gt;1,"Taille supérieure au capital : levier de x"&amp;ROUND(C20,1)&amp;" requis, vérifie ta marge et ton prix de liquidation.","Trade conforme à tes règles : risque de "&amp;FIXED(C22,2)&amp;" ("&amp;ROUND(C9*100,1)&amp;" % du capital) pour un R:R net de "&amp;ROUND(C25,2)&amp;"."))))</f>
        <v/>
      </c>
      <c r="C27" s="193" t="n"/>
      <c r="D27" s="193" t="n"/>
      <c r="E27" s="193" t="n"/>
      <c r="F27" s="193" t="n"/>
      <c r="G27" s="193" t="n"/>
      <c r="H27" s="193" t="n"/>
    </row>
    <row r="29" ht="24" customHeight="1">
      <c r="B29" s="19" t="inlineStr">
        <is>
          <t>2 · STOP BASÉ SUR L'ATR</t>
        </is>
      </c>
      <c r="C29" s="20" t="n"/>
      <c r="D29" s="20" t="n"/>
      <c r="E29" s="20" t="n"/>
      <c r="F29" s="20" t="n"/>
      <c r="G29" s="20" t="n"/>
      <c r="H29" s="20" t="n"/>
    </row>
    <row r="30" ht="23" customHeight="1">
      <c r="B30" s="118" t="inlineStr">
        <is>
          <t>ATR (14 périodes)</t>
        </is>
      </c>
      <c r="C30" s="194" t="n">
        <v>3.2</v>
      </c>
      <c r="D30" s="59" t="inlineStr">
        <is>
          <t>Valeur lue sur ton graphique, même timeframe que l'entrée.</t>
        </is>
      </c>
      <c r="E30" s="59" t="n"/>
      <c r="F30" s="59" t="n"/>
      <c r="G30" s="59" t="n"/>
      <c r="H30" s="59" t="n"/>
    </row>
    <row r="31" ht="23" customHeight="1">
      <c r="B31" s="118" t="inlineStr">
        <is>
          <t>Multiplicateur d'ATR</t>
        </is>
      </c>
      <c r="C31" s="64" t="n">
        <v>2</v>
      </c>
      <c r="D31" s="59" t="inlineStr">
        <is>
          <t>1,5 à 3 selon la volatilité et le style.</t>
        </is>
      </c>
      <c r="E31" s="59" t="n"/>
      <c r="F31" s="59" t="n"/>
      <c r="G31" s="59" t="n"/>
      <c r="H31" s="59" t="n"/>
    </row>
    <row r="32" ht="23" customHeight="1">
      <c r="B32" s="118" t="inlineStr">
        <is>
          <t>Distance de stop</t>
        </is>
      </c>
      <c r="C32" s="195">
        <f>C30*C31</f>
        <v/>
      </c>
      <c r="D32" s="59" t="inlineStr">
        <is>
          <t>ATR × multiplicateur.</t>
        </is>
      </c>
      <c r="E32" s="59" t="n"/>
      <c r="F32" s="59" t="n"/>
      <c r="G32" s="59" t="n"/>
      <c r="H32" s="59" t="n"/>
    </row>
    <row r="33" ht="23" customHeight="1">
      <c r="B33" s="118" t="inlineStr">
        <is>
          <t>Stop suggéré (Long)</t>
        </is>
      </c>
      <c r="C33" s="196">
        <f>C10-C32</f>
        <v/>
      </c>
      <c r="D33" s="59" t="inlineStr">
        <is>
          <t>Prix d'entrée moins la distance.</t>
        </is>
      </c>
      <c r="E33" s="59" t="n"/>
      <c r="F33" s="59" t="n"/>
      <c r="G33" s="59" t="n"/>
      <c r="H33" s="59" t="n"/>
    </row>
    <row r="34" ht="23" customHeight="1">
      <c r="B34" s="118" t="inlineStr">
        <is>
          <t>Stop suggéré (Short)</t>
        </is>
      </c>
      <c r="C34" s="196">
        <f>C10+C32</f>
        <v/>
      </c>
      <c r="D34" s="59" t="inlineStr">
        <is>
          <t>Prix d'entrée plus la distance.</t>
        </is>
      </c>
      <c r="E34" s="59" t="n"/>
      <c r="F34" s="59" t="n"/>
      <c r="G34" s="59" t="n"/>
      <c r="H34" s="59" t="n"/>
    </row>
    <row r="35" ht="23" customHeight="1">
      <c r="B35" s="118" t="inlineStr">
        <is>
          <t>Distance en % du prix</t>
        </is>
      </c>
      <c r="C35" s="197">
        <f>IFERROR(C32/C10,0)</f>
        <v/>
      </c>
      <c r="D35" s="59" t="inlineStr">
        <is>
          <t>Compare avec la distance du stop choisi ci-dessus.</t>
        </is>
      </c>
      <c r="E35" s="59" t="n"/>
      <c r="F35" s="59" t="n"/>
      <c r="G35" s="59" t="n"/>
      <c r="H35" s="59" t="n"/>
    </row>
    <row r="37" ht="24" customHeight="1">
      <c r="B37" s="23" t="inlineStr">
        <is>
          <t>3 · SORTIES PARTIELLES (CIBLES MULTIPLES)</t>
        </is>
      </c>
      <c r="C37" s="24" t="n"/>
      <c r="D37" s="24" t="n"/>
      <c r="E37" s="24" t="n"/>
      <c r="F37" s="24" t="n"/>
      <c r="G37" s="24" t="n"/>
      <c r="H37" s="24" t="n"/>
    </row>
    <row r="38">
      <c r="B38" s="117" t="inlineStr">
        <is>
          <t>Cible</t>
        </is>
      </c>
      <c r="C38" s="83" t="inlineStr">
        <is>
          <t>Prix</t>
        </is>
      </c>
      <c r="D38" s="83" t="inlineStr">
        <is>
          <t>% de la position</t>
        </is>
      </c>
      <c r="E38" s="83" t="inlineStr">
        <is>
          <t>R atteint</t>
        </is>
      </c>
    </row>
    <row r="39" ht="22" customHeight="1">
      <c r="B39" s="118" t="inlineStr">
        <is>
          <t>Cible 1</t>
        </is>
      </c>
      <c r="C39" s="187" t="n">
        <v>108</v>
      </c>
      <c r="D39" s="198" t="n">
        <v>0.5</v>
      </c>
      <c r="E39" s="113">
        <f>IFERROR(ABS(C39-$C$10)/ABS($C$10-$C$11),0)</f>
        <v/>
      </c>
    </row>
    <row r="40" ht="22" customHeight="1">
      <c r="B40" s="118" t="inlineStr">
        <is>
          <t>Cible 2</t>
        </is>
      </c>
      <c r="C40" s="187" t="n">
        <v>116</v>
      </c>
      <c r="D40" s="198" t="n">
        <v>0.3</v>
      </c>
      <c r="E40" s="113">
        <f>IFERROR(ABS(C40-$C$10)/ABS($C$10-$C$11),0)</f>
        <v/>
      </c>
    </row>
    <row r="41" ht="22" customHeight="1">
      <c r="B41" s="118" t="inlineStr">
        <is>
          <t>Cible 3</t>
        </is>
      </c>
      <c r="C41" s="187" t="n">
        <v>125</v>
      </c>
      <c r="D41" s="198" t="n">
        <v>0.2</v>
      </c>
      <c r="E41" s="113">
        <f>IFERROR(ABS(C41-$C$10)/ABS($C$10-$C$11),0)</f>
        <v/>
      </c>
    </row>
    <row r="42" ht="24" customHeight="1">
      <c r="B42" s="199" t="inlineStr">
        <is>
          <t>Total · R pondéré</t>
        </is>
      </c>
      <c r="C42" s="200" t="n"/>
      <c r="D42" s="201">
        <f>SUM(D39:D41)</f>
        <v/>
      </c>
      <c r="E42" s="202">
        <f>SUMPRODUCT(D39:D41,E39:E41)</f>
        <v/>
      </c>
      <c r="F42" s="59">
        <f>IF(ROUND(D42,4)=1,"Répartition complète (100 %).","La somme des parts doit faire 100 %.")</f>
        <v/>
      </c>
      <c r="G42" s="59" t="n"/>
      <c r="H42" s="59" t="n"/>
    </row>
    <row r="44" ht="24" customHeight="1">
      <c r="B44" s="54" t="inlineStr">
        <is>
          <t>4 · NIVEAUX DE FIBONACCI</t>
        </is>
      </c>
      <c r="C44" s="55" t="n"/>
      <c r="D44" s="55" t="n"/>
      <c r="E44" s="55" t="n"/>
      <c r="F44" s="55" t="n"/>
      <c r="G44" s="55" t="n"/>
      <c r="H44" s="55" t="n"/>
    </row>
    <row r="45" ht="23" customHeight="1">
      <c r="B45" s="118" t="inlineStr">
        <is>
          <t>Plus bas du swing</t>
        </is>
      </c>
      <c r="C45" s="187" t="n">
        <v>80</v>
      </c>
      <c r="D45" s="59" t="inlineStr">
        <is>
          <t>Point de départ (ou d'arrivée) de l'impulsion.</t>
        </is>
      </c>
      <c r="E45" s="59" t="n"/>
      <c r="F45" s="59" t="n"/>
      <c r="G45" s="59" t="n"/>
      <c r="H45" s="59" t="n"/>
    </row>
    <row r="46" ht="23" customHeight="1">
      <c r="B46" s="118" t="inlineStr">
        <is>
          <t>Plus haut du swing</t>
        </is>
      </c>
      <c r="C46" s="187" t="n">
        <v>120</v>
      </c>
      <c r="D46" s="59" t="inlineStr">
        <is>
          <t>Sommet de l'impulsion.</t>
        </is>
      </c>
      <c r="E46" s="59" t="n"/>
      <c r="F46" s="59" t="n"/>
      <c r="G46" s="59" t="n"/>
      <c r="H46" s="59" t="n"/>
    </row>
    <row r="47" ht="23" customHeight="1">
      <c r="B47" s="118" t="inlineStr">
        <is>
          <t>Tendance</t>
        </is>
      </c>
      <c r="C47" s="49" t="inlineStr">
        <is>
          <t>Haussière</t>
        </is>
      </c>
      <c r="D47" s="59" t="inlineStr">
        <is>
          <t>Haussière : repli depuis le haut. Baissière : rebond depuis le bas.</t>
        </is>
      </c>
      <c r="E47" s="59" t="n"/>
      <c r="F47" s="59" t="n"/>
      <c r="G47" s="59" t="n"/>
      <c r="H47" s="59" t="n"/>
    </row>
    <row r="48">
      <c r="B48" s="117" t="inlineStr">
        <is>
          <t>Niveau</t>
        </is>
      </c>
      <c r="C48" s="83" t="inlineStr">
        <is>
          <t>Ratio</t>
        </is>
      </c>
      <c r="D48" s="83" t="inlineStr">
        <is>
          <t>Prix</t>
        </is>
      </c>
    </row>
    <row r="49" ht="21" customHeight="1">
      <c r="B49" s="118" t="inlineStr">
        <is>
          <t>Retracement</t>
        </is>
      </c>
      <c r="C49" s="63" t="n">
        <v>0.236</v>
      </c>
      <c r="D49" s="196">
        <f>IF($C$47="Haussière",$C$46-C49*($C$46-$C$45),$C$45+C49*($C$46-$C$45))</f>
        <v/>
      </c>
    </row>
    <row r="50" ht="21" customHeight="1">
      <c r="B50" s="118" t="inlineStr">
        <is>
          <t>Retracement</t>
        </is>
      </c>
      <c r="C50" s="63" t="n">
        <v>0.382</v>
      </c>
      <c r="D50" s="196">
        <f>IF($C$47="Haussière",$C$46-C50*($C$46-$C$45),$C$45+C50*($C$46-$C$45))</f>
        <v/>
      </c>
    </row>
    <row r="51" ht="21" customHeight="1">
      <c r="B51" s="118" t="inlineStr">
        <is>
          <t>Retracement</t>
        </is>
      </c>
      <c r="C51" s="63" t="n">
        <v>0.5</v>
      </c>
      <c r="D51" s="196">
        <f>IF($C$47="Haussière",$C$46-C51*($C$46-$C$45),$C$45+C51*($C$46-$C$45))</f>
        <v/>
      </c>
    </row>
    <row r="52" ht="21" customHeight="1">
      <c r="B52" s="118" t="inlineStr">
        <is>
          <t>Retracement</t>
        </is>
      </c>
      <c r="C52" s="63" t="n">
        <v>0.618</v>
      </c>
      <c r="D52" s="196">
        <f>IF($C$47="Haussière",$C$46-C52*($C$46-$C$45),$C$45+C52*($C$46-$C$45))</f>
        <v/>
      </c>
    </row>
    <row r="53" ht="21" customHeight="1">
      <c r="B53" s="118" t="inlineStr">
        <is>
          <t>Retracement</t>
        </is>
      </c>
      <c r="C53" s="63" t="n">
        <v>0.786</v>
      </c>
      <c r="D53" s="196">
        <f>IF($C$47="Haussière",$C$46-C53*($C$46-$C$45),$C$45+C53*($C$46-$C$45))</f>
        <v/>
      </c>
    </row>
    <row r="54" ht="21" customHeight="1">
      <c r="B54" s="118" t="inlineStr">
        <is>
          <t>Extension</t>
        </is>
      </c>
      <c r="C54" s="63" t="n">
        <v>1.272</v>
      </c>
      <c r="D54" s="196">
        <f>IF($C$47="Haussière",$C$45+C54*($C$46-$C$45),$C$46-C54*($C$46-$C$45))</f>
        <v/>
      </c>
    </row>
    <row r="55" ht="21" customHeight="1">
      <c r="B55" s="118" t="inlineStr">
        <is>
          <t>Extension</t>
        </is>
      </c>
      <c r="C55" s="63" t="n">
        <v>1.618</v>
      </c>
      <c r="D55" s="196">
        <f>IF($C$47="Haussière",$C$45+C55*($C$46-$C$45),$C$46-C55*($C$46-$C$45))</f>
        <v/>
      </c>
    </row>
    <row r="56" ht="21" customHeight="1">
      <c r="B56" s="118" t="inlineStr">
        <is>
          <t>Extension</t>
        </is>
      </c>
      <c r="C56" s="63" t="n">
        <v>2.618</v>
      </c>
      <c r="D56" s="196">
        <f>IF($C$47="Haussière",$C$45+C56*($C$46-$C$45),$C$46-C56*($C$46-$C$45))</f>
        <v/>
      </c>
    </row>
    <row r="58" ht="24" customHeight="1">
      <c r="B58" s="14" t="inlineStr">
        <is>
          <t>5 · SIMULATEUR D'ESPÉRANCE</t>
        </is>
      </c>
      <c r="C58" s="15" t="n"/>
      <c r="D58" s="15" t="n"/>
      <c r="E58" s="15" t="n"/>
      <c r="F58" s="15" t="n"/>
      <c r="G58" s="15" t="n"/>
      <c r="H58" s="15" t="n"/>
    </row>
    <row r="59" ht="23" customHeight="1">
      <c r="B59" s="118" t="inlineStr">
        <is>
          <t>Taux de réussite</t>
        </is>
      </c>
      <c r="C59" s="198" t="n">
        <v>0.45</v>
      </c>
      <c r="D59" s="59" t="inlineStr">
        <is>
          <t>Part de trades gagnants attendue.</t>
        </is>
      </c>
      <c r="E59" s="59" t="n"/>
      <c r="F59" s="59" t="n"/>
      <c r="G59" s="59" t="n"/>
      <c r="H59" s="59" t="n"/>
    </row>
    <row r="60" ht="23" customHeight="1">
      <c r="B60" s="118" t="inlineStr">
        <is>
          <t>R moyen des gains</t>
        </is>
      </c>
      <c r="C60" s="203" t="n">
        <v>2</v>
      </c>
      <c r="D60" s="59" t="inlineStr">
        <is>
          <t>Gain moyen en multiples du risque.</t>
        </is>
      </c>
      <c r="E60" s="59" t="n"/>
      <c r="F60" s="59" t="n"/>
      <c r="G60" s="59" t="n"/>
      <c r="H60" s="59" t="n"/>
    </row>
    <row r="61" ht="23" customHeight="1">
      <c r="B61" s="118" t="inlineStr">
        <is>
          <t>R moyen des pertes</t>
        </is>
      </c>
      <c r="C61" s="203" t="n">
        <v>1</v>
      </c>
      <c r="D61" s="59" t="inlineStr">
        <is>
          <t>Perte moyenne en multiples du risque (1 = stop respecté).</t>
        </is>
      </c>
      <c r="E61" s="59" t="n"/>
      <c r="F61" s="59" t="n"/>
      <c r="G61" s="59" t="n"/>
      <c r="H61" s="59" t="n"/>
    </row>
    <row r="62" ht="23" customHeight="1">
      <c r="B62" s="118" t="inlineStr">
        <is>
          <t>Nombre de trades</t>
        </is>
      </c>
      <c r="C62" s="62" t="n">
        <v>100</v>
      </c>
      <c r="D62" s="59" t="inlineStr">
        <is>
          <t>Horizon de la simulation.</t>
        </is>
      </c>
      <c r="E62" s="59" t="n"/>
      <c r="F62" s="59" t="n"/>
      <c r="G62" s="59" t="n"/>
      <c r="H62" s="59" t="n"/>
    </row>
    <row r="63" ht="23" customHeight="1">
      <c r="B63" s="118" t="inlineStr">
        <is>
          <t>Risque par trade</t>
        </is>
      </c>
      <c r="C63" s="63">
        <f>'Paramètres'!$C$16</f>
        <v/>
      </c>
      <c r="D63" s="59" t="inlineStr">
        <is>
          <t>Lu dans Paramètres.</t>
        </is>
      </c>
      <c r="E63" s="59" t="n"/>
      <c r="F63" s="59" t="n"/>
      <c r="G63" s="59" t="n"/>
      <c r="H63" s="59" t="n"/>
    </row>
    <row r="64" ht="23" customHeight="1">
      <c r="B64" s="118" t="inlineStr">
        <is>
          <t>Espérance par trade (R)</t>
        </is>
      </c>
      <c r="C64" s="133">
        <f>C59*C60-(1-C59)*C61</f>
        <v/>
      </c>
      <c r="D64" s="59" t="inlineStr">
        <is>
          <t>Gain moyen attendu par trade.</t>
        </is>
      </c>
      <c r="E64" s="59" t="n"/>
      <c r="F64" s="59" t="n"/>
      <c r="G64" s="59" t="n"/>
      <c r="H64" s="59" t="n"/>
    </row>
    <row r="65" ht="23" customHeight="1">
      <c r="B65" s="118" t="inlineStr">
        <is>
          <t>Espérance totale (R)</t>
        </is>
      </c>
      <c r="C65" s="204">
        <f>C64*C62</f>
        <v/>
      </c>
      <c r="D65" s="59" t="inlineStr">
        <is>
          <t>Sur l'ensemble des trades.</t>
        </is>
      </c>
      <c r="E65" s="59" t="n"/>
      <c r="F65" s="59" t="n"/>
      <c r="G65" s="59" t="n"/>
      <c r="H65" s="59" t="n"/>
    </row>
    <row r="66" ht="23" customHeight="1">
      <c r="B66" s="118" t="inlineStr">
        <is>
          <t>Gain attendu (% du capital)</t>
        </is>
      </c>
      <c r="C66" s="205">
        <f>C65*C63</f>
        <v/>
      </c>
      <c r="D66" s="59" t="inlineStr">
        <is>
          <t>Approximation sans réinvestissement.</t>
        </is>
      </c>
      <c r="E66" s="59" t="n"/>
      <c r="F66" s="59" t="n"/>
      <c r="G66" s="59" t="n"/>
      <c r="H66" s="59" t="n"/>
    </row>
    <row r="67" ht="23" customHeight="1">
      <c r="B67" s="118" t="inlineStr">
        <is>
          <t>Taux de réussite d'équilibre</t>
        </is>
      </c>
      <c r="C67" s="197">
        <f>IFERROR(C61/(C60+C61),0)</f>
        <v/>
      </c>
      <c r="D67" s="59" t="inlineStr">
        <is>
          <t>En dessous, l'espérance devient négative.</t>
        </is>
      </c>
      <c r="E67" s="59" t="n"/>
      <c r="F67" s="59" t="n"/>
      <c r="G67" s="59" t="n"/>
      <c r="H67" s="59" t="n"/>
    </row>
    <row r="68" ht="30" customHeight="1">
      <c r="B68" s="206">
        <f>IF(C64&gt;0,"Espérance positive : ce profil de trading est rentable sur un grand nombre de trades, sous réserve de respecter le plan.","Espérance négative : ce profil perd de l'argent sur la durée, ajuste le R:R ou le taux de réussite.")</f>
        <v/>
      </c>
      <c r="C68" s="206" t="n"/>
      <c r="D68" s="206" t="n"/>
      <c r="E68" s="206" t="n"/>
      <c r="F68" s="206" t="n"/>
      <c r="G68" s="206" t="n"/>
      <c r="H68" s="206" t="n"/>
    </row>
  </sheetData>
  <mergeCells count="47">
    <mergeCell ref="D59:H59"/>
    <mergeCell ref="D60:H60"/>
    <mergeCell ref="D35:H35"/>
    <mergeCell ref="D20:H20"/>
    <mergeCell ref="F42:H42"/>
    <mergeCell ref="D34:H34"/>
    <mergeCell ref="G2:H2"/>
    <mergeCell ref="D10:H10"/>
    <mergeCell ref="B68:H68"/>
    <mergeCell ref="D19:H19"/>
    <mergeCell ref="D63:H63"/>
    <mergeCell ref="B6:H6"/>
    <mergeCell ref="D31:H31"/>
    <mergeCell ref="D46:H46"/>
    <mergeCell ref="D22:H22"/>
    <mergeCell ref="D65:H65"/>
    <mergeCell ref="D45:H45"/>
    <mergeCell ref="D21:H21"/>
    <mergeCell ref="D11:H11"/>
    <mergeCell ref="D13:H13"/>
    <mergeCell ref="B14:C14"/>
    <mergeCell ref="D32:H32"/>
    <mergeCell ref="D61:H61"/>
    <mergeCell ref="D66:H66"/>
    <mergeCell ref="D17:H17"/>
    <mergeCell ref="D7:H7"/>
    <mergeCell ref="D47:H47"/>
    <mergeCell ref="D16:H16"/>
    <mergeCell ref="B27:H27"/>
    <mergeCell ref="B58:H58"/>
    <mergeCell ref="D62:H62"/>
    <mergeCell ref="D18:H18"/>
    <mergeCell ref="D9:H9"/>
    <mergeCell ref="D12:H12"/>
    <mergeCell ref="D30:H30"/>
    <mergeCell ref="D8:H8"/>
    <mergeCell ref="D25:H25"/>
    <mergeCell ref="D15:H15"/>
    <mergeCell ref="D24:H24"/>
    <mergeCell ref="B44:H44"/>
    <mergeCell ref="D64:H64"/>
    <mergeCell ref="D33:H33"/>
    <mergeCell ref="D67:H67"/>
    <mergeCell ref="D23:H23"/>
    <mergeCell ref="B29:H29"/>
    <mergeCell ref="B37:H37"/>
    <mergeCell ref="D26:H26"/>
  </mergeCells>
  <conditionalFormatting sqref="B27">
    <cfRule type="expression" priority="1" dxfId="17">
      <formula>LEFT($B$27,5)="Trade"</formula>
    </cfRule>
    <cfRule type="expression" priority="2" dxfId="18">
      <formula>OR(LEFT($B$27,3)="R:R",LEFT($B$27,5)="Incoh",LEFT($B$27,6)="Taille")</formula>
    </cfRule>
  </conditionalFormatting>
  <dataValidations count="2">
    <dataValidation sqref="C7" showDropDown="0" showInputMessage="0" showErrorMessage="0" allowBlank="0" type="list">
      <formula1>"Long,Short"</formula1>
    </dataValidation>
    <dataValidation sqref="C47" showDropDown="0" showInputMessage="0" showErrorMessage="0" allowBlank="0" type="list">
      <formula1>"Haussière,Baissière"</formula1>
    </dataValidation>
  </dataValidations>
  <hyperlinks>
    <hyperlink ref="G2" location="'Accueil'!A1" display="Accueil"/>
  </hyperlinks>
  <printOptions horizontalCentered="1"/>
  <pageMargins left="0.75" right="0.75" top="1" bottom="1" header="0.5" footer="0.5"/>
  <pageSetup orientation="landscape" fitToHeight="0" fitToWidth="1"/>
</worksheet>
</file>

<file path=xl/worksheets/sheet11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S74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3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2" customWidth="1" min="19" max="19"/>
  </cols>
  <sheetData>
    <row r="1" ht="22" customHeight="1">
      <c r="A1" s="1" t="n"/>
      <c r="B1" s="2">
        <f>'Paramètres'!$C$7</f>
        <v/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32" t="inlineStr">
        <is>
          <t>Gestion du risque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33" t="inlineStr">
        <is>
          <t>← Accueil</t>
        </is>
      </c>
      <c r="R2" s="1" t="n"/>
      <c r="S2" s="1" t="n"/>
    </row>
    <row r="3" ht="18" customHeight="1">
      <c r="A3" s="1" t="n"/>
      <c r="B3" s="4" t="inlineStr">
        <is>
          <t>Les règles et les tableaux qui protègent ton capital.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  <c r="P4" s="5" t="n"/>
      <c r="Q4" s="5" t="n"/>
      <c r="R4" s="5" t="n"/>
      <c r="S4" s="5" t="n"/>
    </row>
    <row r="6" ht="24" customHeight="1">
      <c r="B6" s="54" t="inlineStr">
        <is>
          <t>10 RÈGLES D'OR</t>
        </is>
      </c>
      <c r="C6" s="55" t="n"/>
      <c r="D6" s="55" t="n"/>
      <c r="E6" s="55" t="n"/>
      <c r="F6" s="55" t="n"/>
      <c r="G6" s="55" t="n"/>
      <c r="H6" s="55" t="n"/>
      <c r="I6" s="55" t="n"/>
    </row>
    <row r="7" ht="34" customHeight="1">
      <c r="B7" s="35" t="inlineStr">
        <is>
          <t>1. Fixe le risque avant l'entrée</t>
        </is>
      </c>
      <c r="C7" s="207" t="inlineStr">
        <is>
          <t>Décide combien tu acceptes de perdre (en % du capital) avant de cliquer, jamais après. 0,5 à 1 % par trade est la fourchette la plus utilisée.</t>
        </is>
      </c>
      <c r="D7" s="207" t="n"/>
      <c r="E7" s="207" t="n"/>
      <c r="F7" s="207" t="n"/>
      <c r="G7" s="207" t="n"/>
      <c r="H7" s="207" t="n"/>
      <c r="I7" s="207" t="n"/>
    </row>
    <row r="8" ht="34" customHeight="1">
      <c r="B8" s="35" t="inlineStr">
        <is>
          <t>2. Le stop est invalidant, pas confortable</t>
        </is>
      </c>
      <c r="C8" s="207" t="inlineStr">
        <is>
          <t>Place-le là où ton scénario est faux, puis ajuste la taille de position, pas le stop.</t>
        </is>
      </c>
      <c r="D8" s="207" t="n"/>
      <c r="E8" s="207" t="n"/>
      <c r="F8" s="207" t="n"/>
      <c r="G8" s="207" t="n"/>
      <c r="H8" s="207" t="n"/>
      <c r="I8" s="207" t="n"/>
    </row>
    <row r="9" ht="34" customHeight="1">
      <c r="B9" s="35" t="inlineStr">
        <is>
          <t>3. Ne déplace jamais un stop contre la position</t>
        </is>
      </c>
      <c r="C9" s="207" t="inlineStr">
        <is>
          <t>Tu peux le remonter pour protéger un gain, jamais l'éloigner pour « laisser respirer » une perte.</t>
        </is>
      </c>
      <c r="D9" s="207" t="n"/>
      <c r="E9" s="207" t="n"/>
      <c r="F9" s="207" t="n"/>
      <c r="G9" s="207" t="n"/>
      <c r="H9" s="207" t="n"/>
      <c r="I9" s="207" t="n"/>
    </row>
    <row r="10" ht="34" customHeight="1">
      <c r="B10" s="35" t="inlineStr">
        <is>
          <t>4. Exige un R:R minimum</t>
        </is>
      </c>
      <c r="C10" s="207" t="inlineStr">
        <is>
          <t>Avec un R:R de 2, il suffit de gagner 34 % des trades pour être à l'équilibre avant frais.</t>
        </is>
      </c>
      <c r="D10" s="207" t="n"/>
      <c r="E10" s="207" t="n"/>
      <c r="F10" s="207" t="n"/>
      <c r="G10" s="207" t="n"/>
      <c r="H10" s="207" t="n"/>
      <c r="I10" s="207" t="n"/>
    </row>
    <row r="11" ht="34" customHeight="1">
      <c r="B11" s="35" t="inlineStr">
        <is>
          <t>5. Limite le risque total ouvert</t>
        </is>
      </c>
      <c r="C11" s="207" t="inlineStr">
        <is>
          <t>Additionne les risques des positions ouvertes : garde-le sous 3 à 5 % du capital, et attention aux actifs corrélés.</t>
        </is>
      </c>
      <c r="D11" s="207" t="n"/>
      <c r="E11" s="207" t="n"/>
      <c r="F11" s="207" t="n"/>
      <c r="G11" s="207" t="n"/>
      <c r="H11" s="207" t="n"/>
      <c r="I11" s="207" t="n"/>
    </row>
    <row r="12" ht="34" customHeight="1">
      <c r="B12" s="35" t="inlineStr">
        <is>
          <t>6. Compte les frais et le slippage</t>
        </is>
      </c>
      <c r="C12" s="207" t="inlineStr">
        <is>
          <t>Sur un stop serré, les frais peuvent représenter une part significative du risque. Calcule le R:R net.</t>
        </is>
      </c>
      <c r="D12" s="207" t="n"/>
      <c r="E12" s="207" t="n"/>
      <c r="F12" s="207" t="n"/>
      <c r="G12" s="207" t="n"/>
      <c r="H12" s="207" t="n"/>
      <c r="I12" s="207" t="n"/>
    </row>
    <row r="13" ht="34" customHeight="1">
      <c r="B13" s="35" t="inlineStr">
        <is>
          <t>7. Réduis la taille en drawdown</t>
        </is>
      </c>
      <c r="C13" s="207" t="inlineStr">
        <is>
          <t>Après une série de pertes, divise le risque par deux jusqu'à retrouver ton pic de capital.</t>
        </is>
      </c>
      <c r="D13" s="207" t="n"/>
      <c r="E13" s="207" t="n"/>
      <c r="F13" s="207" t="n"/>
      <c r="G13" s="207" t="n"/>
      <c r="H13" s="207" t="n"/>
      <c r="I13" s="207" t="n"/>
    </row>
    <row r="14" ht="34" customHeight="1">
      <c r="B14" s="35" t="inlineStr">
        <is>
          <t>8. Utilise le levier avec parcimonie</t>
        </is>
      </c>
      <c r="C14" s="207" t="inlineStr">
        <is>
          <t>Le levier n'augmente pas ton edge, il augmente seulement la vitesse à laquelle tu peux te tromper.</t>
        </is>
      </c>
      <c r="D14" s="207" t="n"/>
      <c r="E14" s="207" t="n"/>
      <c r="F14" s="207" t="n"/>
      <c r="G14" s="207" t="n"/>
      <c r="H14" s="207" t="n"/>
      <c r="I14" s="207" t="n"/>
    </row>
    <row r="15" ht="34" customHeight="1">
      <c r="B15" s="35" t="inlineStr">
        <is>
          <t>9. Protège ton capital d'abord</t>
        </is>
      </c>
      <c r="C15" s="207" t="inlineStr">
        <is>
          <t>Une perte de 50 % exige un gain de 100 % pour revenir à l'équilibre : survivre est la condition de tout le reste.</t>
        </is>
      </c>
      <c r="D15" s="207" t="n"/>
      <c r="E15" s="207" t="n"/>
      <c r="F15" s="207" t="n"/>
      <c r="G15" s="207" t="n"/>
      <c r="H15" s="207" t="n"/>
      <c r="I15" s="207" t="n"/>
    </row>
    <row r="16" ht="34" customHeight="1">
      <c r="B16" s="35" t="inlineStr">
        <is>
          <t>10. Mesure, ne devine pas</t>
        </is>
      </c>
      <c r="C16" s="207" t="inlineStr">
        <is>
          <t>Ton Journal est la seule source fiable de ton espérance réelle. Décide avec les données, pas avec les impressions.</t>
        </is>
      </c>
      <c r="D16" s="207" t="n"/>
      <c r="E16" s="207" t="n"/>
      <c r="F16" s="207" t="n"/>
      <c r="G16" s="207" t="n"/>
      <c r="H16" s="207" t="n"/>
      <c r="I16" s="207" t="n"/>
    </row>
    <row r="18" ht="24" customHeight="1">
      <c r="B18" s="152" t="inlineStr">
        <is>
          <t>PERTE SUBIE ET GAIN NÉCESSAIRE POUR REVENIR À L'ÉQUILIBRE</t>
        </is>
      </c>
      <c r="C18" s="153" t="n"/>
      <c r="D18" s="153" t="n"/>
      <c r="E18" s="153" t="n"/>
      <c r="F18" s="153" t="n"/>
      <c r="G18" s="153" t="n"/>
      <c r="H18" s="153" t="n"/>
      <c r="I18" s="153" t="n"/>
    </row>
    <row r="19">
      <c r="B19" s="117" t="inlineStr">
        <is>
          <t>Perte du capital</t>
        </is>
      </c>
      <c r="C19" s="83" t="inlineStr">
        <is>
          <t>Gain requis</t>
        </is>
      </c>
    </row>
    <row r="20" ht="20" customHeight="1">
      <c r="B20" s="208" t="n">
        <v>0.05</v>
      </c>
      <c r="C20" s="161">
        <f>1/(1-B20)-1</f>
        <v/>
      </c>
    </row>
    <row r="21" ht="20" customHeight="1">
      <c r="B21" s="209" t="n">
        <v>0.1</v>
      </c>
      <c r="C21" s="210">
        <f>1/(1-B21)-1</f>
        <v/>
      </c>
    </row>
    <row r="22" ht="20" customHeight="1">
      <c r="B22" s="208" t="n">
        <v>0.15</v>
      </c>
      <c r="C22" s="161">
        <f>1/(1-B22)-1</f>
        <v/>
      </c>
    </row>
    <row r="23" ht="20" customHeight="1">
      <c r="B23" s="209" t="n">
        <v>0.2</v>
      </c>
      <c r="C23" s="210">
        <f>1/(1-B23)-1</f>
        <v/>
      </c>
    </row>
    <row r="24" ht="20" customHeight="1">
      <c r="B24" s="208" t="n">
        <v>0.25</v>
      </c>
      <c r="C24" s="161">
        <f>1/(1-B24)-1</f>
        <v/>
      </c>
    </row>
    <row r="25" ht="20" customHeight="1">
      <c r="B25" s="209" t="n">
        <v>0.3</v>
      </c>
      <c r="C25" s="210">
        <f>1/(1-B25)-1</f>
        <v/>
      </c>
    </row>
    <row r="26" ht="20" customHeight="1">
      <c r="B26" s="208" t="n">
        <v>0.4</v>
      </c>
      <c r="C26" s="161">
        <f>1/(1-B26)-1</f>
        <v/>
      </c>
    </row>
    <row r="27" ht="20" customHeight="1">
      <c r="B27" s="209" t="n">
        <v>0.5</v>
      </c>
      <c r="C27" s="210">
        <f>1/(1-B27)-1</f>
        <v/>
      </c>
    </row>
    <row r="28" ht="20" customHeight="1">
      <c r="B28" s="208" t="n">
        <v>0.6</v>
      </c>
      <c r="C28" s="161">
        <f>1/(1-B28)-1</f>
        <v/>
      </c>
    </row>
    <row r="29" ht="20" customHeight="1">
      <c r="B29" s="209" t="n">
        <v>0.7</v>
      </c>
      <c r="C29" s="210">
        <f>1/(1-B29)-1</f>
        <v/>
      </c>
    </row>
    <row r="30" ht="20" customHeight="1">
      <c r="B30" s="208" t="n">
        <v>0.8</v>
      </c>
      <c r="C30" s="161">
        <f>1/(1-B30)-1</f>
        <v/>
      </c>
    </row>
    <row r="31" ht="20" customHeight="1">
      <c r="B31" s="209" t="n">
        <v>0.9</v>
      </c>
      <c r="C31" s="210">
        <f>1/(1-B31)-1</f>
        <v/>
      </c>
    </row>
    <row r="34" ht="24" customHeight="1">
      <c r="B34" s="152" t="inlineStr">
        <is>
          <t>CAPITAL RESTANT APRÈS N PERTES CONSÉCUTIVES</t>
        </is>
      </c>
      <c r="C34" s="153" t="n"/>
      <c r="D34" s="153" t="n"/>
      <c r="E34" s="153" t="n"/>
      <c r="F34" s="153" t="n"/>
      <c r="G34" s="153" t="n"/>
      <c r="H34" s="153" t="n"/>
      <c r="I34" s="153" t="n"/>
    </row>
    <row r="35">
      <c r="B35" s="117" t="inlineStr">
        <is>
          <t>Nombre de pertes d'affilée</t>
        </is>
      </c>
      <c r="C35" s="211" t="n">
        <v>0.005</v>
      </c>
      <c r="D35" s="211" t="n">
        <v>0.01</v>
      </c>
      <c r="E35" s="211" t="n">
        <v>0.02</v>
      </c>
      <c r="F35" s="211" t="n">
        <v>0.03</v>
      </c>
      <c r="G35" s="211" t="n">
        <v>0.05</v>
      </c>
    </row>
    <row r="36" ht="19" customHeight="1">
      <c r="B36" s="212" t="n">
        <v>0</v>
      </c>
      <c r="C36" s="189">
        <f>(1-C$35)^$B36</f>
        <v/>
      </c>
      <c r="D36" s="189">
        <f>(1-D$35)^$B36</f>
        <v/>
      </c>
      <c r="E36" s="189">
        <f>(1-E$35)^$B36</f>
        <v/>
      </c>
      <c r="F36" s="189">
        <f>(1-F$35)^$B36</f>
        <v/>
      </c>
      <c r="G36" s="189">
        <f>(1-G$35)^$B36</f>
        <v/>
      </c>
    </row>
    <row r="37" ht="19" customHeight="1">
      <c r="B37" s="213" t="n">
        <v>1</v>
      </c>
      <c r="C37" s="214">
        <f>(1-C$35)^$B37</f>
        <v/>
      </c>
      <c r="D37" s="214">
        <f>(1-D$35)^$B37</f>
        <v/>
      </c>
      <c r="E37" s="214">
        <f>(1-E$35)^$B37</f>
        <v/>
      </c>
      <c r="F37" s="214">
        <f>(1-F$35)^$B37</f>
        <v/>
      </c>
      <c r="G37" s="214">
        <f>(1-G$35)^$B37</f>
        <v/>
      </c>
    </row>
    <row r="38" ht="19" customHeight="1">
      <c r="B38" s="212" t="n">
        <v>2</v>
      </c>
      <c r="C38" s="189">
        <f>(1-C$35)^$B38</f>
        <v/>
      </c>
      <c r="D38" s="189">
        <f>(1-D$35)^$B38</f>
        <v/>
      </c>
      <c r="E38" s="189">
        <f>(1-E$35)^$B38</f>
        <v/>
      </c>
      <c r="F38" s="189">
        <f>(1-F$35)^$B38</f>
        <v/>
      </c>
      <c r="G38" s="189">
        <f>(1-G$35)^$B38</f>
        <v/>
      </c>
    </row>
    <row r="39" ht="19" customHeight="1">
      <c r="B39" s="213" t="n">
        <v>3</v>
      </c>
      <c r="C39" s="214">
        <f>(1-C$35)^$B39</f>
        <v/>
      </c>
      <c r="D39" s="214">
        <f>(1-D$35)^$B39</f>
        <v/>
      </c>
      <c r="E39" s="214">
        <f>(1-E$35)^$B39</f>
        <v/>
      </c>
      <c r="F39" s="214">
        <f>(1-F$35)^$B39</f>
        <v/>
      </c>
      <c r="G39" s="214">
        <f>(1-G$35)^$B39</f>
        <v/>
      </c>
    </row>
    <row r="40" ht="19" customHeight="1">
      <c r="B40" s="212" t="n">
        <v>4</v>
      </c>
      <c r="C40" s="189">
        <f>(1-C$35)^$B40</f>
        <v/>
      </c>
      <c r="D40" s="189">
        <f>(1-D$35)^$B40</f>
        <v/>
      </c>
      <c r="E40" s="189">
        <f>(1-E$35)^$B40</f>
        <v/>
      </c>
      <c r="F40" s="189">
        <f>(1-F$35)^$B40</f>
        <v/>
      </c>
      <c r="G40" s="189">
        <f>(1-G$35)^$B40</f>
        <v/>
      </c>
    </row>
    <row r="41" ht="19" customHeight="1">
      <c r="B41" s="213" t="n">
        <v>5</v>
      </c>
      <c r="C41" s="214">
        <f>(1-C$35)^$B41</f>
        <v/>
      </c>
      <c r="D41" s="214">
        <f>(1-D$35)^$B41</f>
        <v/>
      </c>
      <c r="E41" s="214">
        <f>(1-E$35)^$B41</f>
        <v/>
      </c>
      <c r="F41" s="214">
        <f>(1-F$35)^$B41</f>
        <v/>
      </c>
      <c r="G41" s="214">
        <f>(1-G$35)^$B41</f>
        <v/>
      </c>
    </row>
    <row r="42" ht="19" customHeight="1">
      <c r="B42" s="212" t="n">
        <v>6</v>
      </c>
      <c r="C42" s="189">
        <f>(1-C$35)^$B42</f>
        <v/>
      </c>
      <c r="D42" s="189">
        <f>(1-D$35)^$B42</f>
        <v/>
      </c>
      <c r="E42" s="189">
        <f>(1-E$35)^$B42</f>
        <v/>
      </c>
      <c r="F42" s="189">
        <f>(1-F$35)^$B42</f>
        <v/>
      </c>
      <c r="G42" s="189">
        <f>(1-G$35)^$B42</f>
        <v/>
      </c>
    </row>
    <row r="43" ht="19" customHeight="1">
      <c r="B43" s="213" t="n">
        <v>7</v>
      </c>
      <c r="C43" s="214">
        <f>(1-C$35)^$B43</f>
        <v/>
      </c>
      <c r="D43" s="214">
        <f>(1-D$35)^$B43</f>
        <v/>
      </c>
      <c r="E43" s="214">
        <f>(1-E$35)^$B43</f>
        <v/>
      </c>
      <c r="F43" s="214">
        <f>(1-F$35)^$B43</f>
        <v/>
      </c>
      <c r="G43" s="214">
        <f>(1-G$35)^$B43</f>
        <v/>
      </c>
    </row>
    <row r="44" ht="19" customHeight="1">
      <c r="B44" s="212" t="n">
        <v>8</v>
      </c>
      <c r="C44" s="189">
        <f>(1-C$35)^$B44</f>
        <v/>
      </c>
      <c r="D44" s="189">
        <f>(1-D$35)^$B44</f>
        <v/>
      </c>
      <c r="E44" s="189">
        <f>(1-E$35)^$B44</f>
        <v/>
      </c>
      <c r="F44" s="189">
        <f>(1-F$35)^$B44</f>
        <v/>
      </c>
      <c r="G44" s="189">
        <f>(1-G$35)^$B44</f>
        <v/>
      </c>
    </row>
    <row r="45" ht="19" customHeight="1">
      <c r="B45" s="213" t="n">
        <v>9</v>
      </c>
      <c r="C45" s="214">
        <f>(1-C$35)^$B45</f>
        <v/>
      </c>
      <c r="D45" s="214">
        <f>(1-D$35)^$B45</f>
        <v/>
      </c>
      <c r="E45" s="214">
        <f>(1-E$35)^$B45</f>
        <v/>
      </c>
      <c r="F45" s="214">
        <f>(1-F$35)^$B45</f>
        <v/>
      </c>
      <c r="G45" s="214">
        <f>(1-G$35)^$B45</f>
        <v/>
      </c>
    </row>
    <row r="46" ht="19" customHeight="1">
      <c r="B46" s="212" t="n">
        <v>10</v>
      </c>
      <c r="C46" s="189">
        <f>(1-C$35)^$B46</f>
        <v/>
      </c>
      <c r="D46" s="189">
        <f>(1-D$35)^$B46</f>
        <v/>
      </c>
      <c r="E46" s="189">
        <f>(1-E$35)^$B46</f>
        <v/>
      </c>
      <c r="F46" s="189">
        <f>(1-F$35)^$B46</f>
        <v/>
      </c>
      <c r="G46" s="189">
        <f>(1-G$35)^$B46</f>
        <v/>
      </c>
    </row>
    <row r="47" ht="19" customHeight="1">
      <c r="B47" s="213" t="n">
        <v>11</v>
      </c>
      <c r="C47" s="214">
        <f>(1-C$35)^$B47</f>
        <v/>
      </c>
      <c r="D47" s="214">
        <f>(1-D$35)^$B47</f>
        <v/>
      </c>
      <c r="E47" s="214">
        <f>(1-E$35)^$B47</f>
        <v/>
      </c>
      <c r="F47" s="214">
        <f>(1-F$35)^$B47</f>
        <v/>
      </c>
      <c r="G47" s="214">
        <f>(1-G$35)^$B47</f>
        <v/>
      </c>
    </row>
    <row r="48" ht="19" customHeight="1">
      <c r="B48" s="212" t="n">
        <v>12</v>
      </c>
      <c r="C48" s="189">
        <f>(1-C$35)^$B48</f>
        <v/>
      </c>
      <c r="D48" s="189">
        <f>(1-D$35)^$B48</f>
        <v/>
      </c>
      <c r="E48" s="189">
        <f>(1-E$35)^$B48</f>
        <v/>
      </c>
      <c r="F48" s="189">
        <f>(1-F$35)^$B48</f>
        <v/>
      </c>
      <c r="G48" s="189">
        <f>(1-G$35)^$B48</f>
        <v/>
      </c>
    </row>
    <row r="49" ht="19" customHeight="1">
      <c r="B49" s="213" t="n">
        <v>13</v>
      </c>
      <c r="C49" s="214">
        <f>(1-C$35)^$B49</f>
        <v/>
      </c>
      <c r="D49" s="214">
        <f>(1-D$35)^$B49</f>
        <v/>
      </c>
      <c r="E49" s="214">
        <f>(1-E$35)^$B49</f>
        <v/>
      </c>
      <c r="F49" s="214">
        <f>(1-F$35)^$B49</f>
        <v/>
      </c>
      <c r="G49" s="214">
        <f>(1-G$35)^$B49</f>
        <v/>
      </c>
    </row>
    <row r="50" ht="19" customHeight="1">
      <c r="B50" s="212" t="n">
        <v>14</v>
      </c>
      <c r="C50" s="189">
        <f>(1-C$35)^$B50</f>
        <v/>
      </c>
      <c r="D50" s="189">
        <f>(1-D$35)^$B50</f>
        <v/>
      </c>
      <c r="E50" s="189">
        <f>(1-E$35)^$B50</f>
        <v/>
      </c>
      <c r="F50" s="189">
        <f>(1-F$35)^$B50</f>
        <v/>
      </c>
      <c r="G50" s="189">
        <f>(1-G$35)^$B50</f>
        <v/>
      </c>
    </row>
    <row r="51" ht="19" customHeight="1">
      <c r="B51" s="213" t="n">
        <v>15</v>
      </c>
      <c r="C51" s="214">
        <f>(1-C$35)^$B51</f>
        <v/>
      </c>
      <c r="D51" s="214">
        <f>(1-D$35)^$B51</f>
        <v/>
      </c>
      <c r="E51" s="214">
        <f>(1-E$35)^$B51</f>
        <v/>
      </c>
      <c r="F51" s="214">
        <f>(1-F$35)^$B51</f>
        <v/>
      </c>
      <c r="G51" s="214">
        <f>(1-G$35)^$B51</f>
        <v/>
      </c>
    </row>
    <row r="52" ht="19" customHeight="1">
      <c r="B52" s="212" t="n">
        <v>16</v>
      </c>
      <c r="C52" s="189">
        <f>(1-C$35)^$B52</f>
        <v/>
      </c>
      <c r="D52" s="189">
        <f>(1-D$35)^$B52</f>
        <v/>
      </c>
      <c r="E52" s="189">
        <f>(1-E$35)^$B52</f>
        <v/>
      </c>
      <c r="F52" s="189">
        <f>(1-F$35)^$B52</f>
        <v/>
      </c>
      <c r="G52" s="189">
        <f>(1-G$35)^$B52</f>
        <v/>
      </c>
    </row>
    <row r="53" ht="19" customHeight="1">
      <c r="B53" s="213" t="n">
        <v>17</v>
      </c>
      <c r="C53" s="214">
        <f>(1-C$35)^$B53</f>
        <v/>
      </c>
      <c r="D53" s="214">
        <f>(1-D$35)^$B53</f>
        <v/>
      </c>
      <c r="E53" s="214">
        <f>(1-E$35)^$B53</f>
        <v/>
      </c>
      <c r="F53" s="214">
        <f>(1-F$35)^$B53</f>
        <v/>
      </c>
      <c r="G53" s="214">
        <f>(1-G$35)^$B53</f>
        <v/>
      </c>
    </row>
    <row r="54" ht="19" customHeight="1">
      <c r="B54" s="212" t="n">
        <v>18</v>
      </c>
      <c r="C54" s="189">
        <f>(1-C$35)^$B54</f>
        <v/>
      </c>
      <c r="D54" s="189">
        <f>(1-D$35)^$B54</f>
        <v/>
      </c>
      <c r="E54" s="189">
        <f>(1-E$35)^$B54</f>
        <v/>
      </c>
      <c r="F54" s="189">
        <f>(1-F$35)^$B54</f>
        <v/>
      </c>
      <c r="G54" s="189">
        <f>(1-G$35)^$B54</f>
        <v/>
      </c>
    </row>
    <row r="55" ht="19" customHeight="1">
      <c r="B55" s="213" t="n">
        <v>19</v>
      </c>
      <c r="C55" s="214">
        <f>(1-C$35)^$B55</f>
        <v/>
      </c>
      <c r="D55" s="214">
        <f>(1-D$35)^$B55</f>
        <v/>
      </c>
      <c r="E55" s="214">
        <f>(1-E$35)^$B55</f>
        <v/>
      </c>
      <c r="F55" s="214">
        <f>(1-F$35)^$B55</f>
        <v/>
      </c>
      <c r="G55" s="214">
        <f>(1-G$35)^$B55</f>
        <v/>
      </c>
    </row>
    <row r="56" ht="19" customHeight="1">
      <c r="B56" s="212" t="n">
        <v>20</v>
      </c>
      <c r="C56" s="189">
        <f>(1-C$35)^$B56</f>
        <v/>
      </c>
      <c r="D56" s="189">
        <f>(1-D$35)^$B56</f>
        <v/>
      </c>
      <c r="E56" s="189">
        <f>(1-E$35)^$B56</f>
        <v/>
      </c>
      <c r="F56" s="189">
        <f>(1-F$35)^$B56</f>
        <v/>
      </c>
      <c r="G56" s="189">
        <f>(1-G$35)^$B56</f>
        <v/>
      </c>
    </row>
    <row r="58">
      <c r="B58" s="59" t="inlineStr">
        <is>
          <t>Les niveaux de risque en bleu (ligne d'en-tête) sont modifiables : le tableau et le graphique se recalculent.</t>
        </is>
      </c>
      <c r="C58" s="59" t="n"/>
      <c r="D58" s="59" t="n"/>
      <c r="E58" s="59" t="n"/>
      <c r="F58" s="59" t="n"/>
      <c r="G58" s="59" t="n"/>
      <c r="H58" s="59" t="n"/>
      <c r="I58" s="59" t="n"/>
    </row>
    <row r="61" ht="24" customHeight="1">
      <c r="B61" s="14" t="inlineStr">
        <is>
          <t>ESPÉRANCE (EN R) SELON LE TAUX DE RÉUSSITE ET LE R:R</t>
        </is>
      </c>
      <c r="C61" s="15" t="n"/>
      <c r="D61" s="15" t="n"/>
      <c r="E61" s="15" t="n"/>
      <c r="F61" s="15" t="n"/>
      <c r="G61" s="15" t="n"/>
      <c r="H61" s="15" t="n"/>
      <c r="I61" s="15" t="n"/>
    </row>
    <row r="62">
      <c r="B62" s="117" t="inlineStr">
        <is>
          <t>Taux de réussite  \  R:R</t>
        </is>
      </c>
      <c r="C62" s="215" t="n">
        <v>0.5</v>
      </c>
      <c r="D62" s="215" t="n">
        <v>1</v>
      </c>
      <c r="E62" s="215" t="n">
        <v>1.5</v>
      </c>
      <c r="F62" s="215" t="n">
        <v>2</v>
      </c>
      <c r="G62" s="215" t="n">
        <v>2.5</v>
      </c>
      <c r="H62" s="215" t="n">
        <v>3</v>
      </c>
    </row>
    <row r="63" ht="21" customHeight="1">
      <c r="B63" s="208" t="n">
        <v>0.3</v>
      </c>
      <c r="C63" s="216">
        <f>$B63*C$62-(1-$B63)</f>
        <v/>
      </c>
      <c r="D63" s="216">
        <f>$B63*D$62-(1-$B63)</f>
        <v/>
      </c>
      <c r="E63" s="216">
        <f>$B63*E$62-(1-$B63)</f>
        <v/>
      </c>
      <c r="F63" s="216">
        <f>$B63*F$62-(1-$B63)</f>
        <v/>
      </c>
      <c r="G63" s="216">
        <f>$B63*G$62-(1-$B63)</f>
        <v/>
      </c>
      <c r="H63" s="216">
        <f>$B63*H$62-(1-$B63)</f>
        <v/>
      </c>
    </row>
    <row r="64" ht="21" customHeight="1">
      <c r="B64" s="208" t="n">
        <v>0.35</v>
      </c>
      <c r="C64" s="216">
        <f>$B64*C$62-(1-$B64)</f>
        <v/>
      </c>
      <c r="D64" s="216">
        <f>$B64*D$62-(1-$B64)</f>
        <v/>
      </c>
      <c r="E64" s="216">
        <f>$B64*E$62-(1-$B64)</f>
        <v/>
      </c>
      <c r="F64" s="216">
        <f>$B64*F$62-(1-$B64)</f>
        <v/>
      </c>
      <c r="G64" s="216">
        <f>$B64*G$62-(1-$B64)</f>
        <v/>
      </c>
      <c r="H64" s="216">
        <f>$B64*H$62-(1-$B64)</f>
        <v/>
      </c>
    </row>
    <row r="65" ht="21" customHeight="1">
      <c r="B65" s="208" t="n">
        <v>0.4</v>
      </c>
      <c r="C65" s="216">
        <f>$B65*C$62-(1-$B65)</f>
        <v/>
      </c>
      <c r="D65" s="216">
        <f>$B65*D$62-(1-$B65)</f>
        <v/>
      </c>
      <c r="E65" s="216">
        <f>$B65*E$62-(1-$B65)</f>
        <v/>
      </c>
      <c r="F65" s="216">
        <f>$B65*F$62-(1-$B65)</f>
        <v/>
      </c>
      <c r="G65" s="216">
        <f>$B65*G$62-(1-$B65)</f>
        <v/>
      </c>
      <c r="H65" s="216">
        <f>$B65*H$62-(1-$B65)</f>
        <v/>
      </c>
    </row>
    <row r="66" ht="21" customHeight="1">
      <c r="B66" s="208" t="n">
        <v>0.45</v>
      </c>
      <c r="C66" s="216">
        <f>$B66*C$62-(1-$B66)</f>
        <v/>
      </c>
      <c r="D66" s="216">
        <f>$B66*D$62-(1-$B66)</f>
        <v/>
      </c>
      <c r="E66" s="216">
        <f>$B66*E$62-(1-$B66)</f>
        <v/>
      </c>
      <c r="F66" s="216">
        <f>$B66*F$62-(1-$B66)</f>
        <v/>
      </c>
      <c r="G66" s="216">
        <f>$B66*G$62-(1-$B66)</f>
        <v/>
      </c>
      <c r="H66" s="216">
        <f>$B66*H$62-(1-$B66)</f>
        <v/>
      </c>
    </row>
    <row r="67" ht="21" customHeight="1">
      <c r="B67" s="208" t="n">
        <v>0.5</v>
      </c>
      <c r="C67" s="216">
        <f>$B67*C$62-(1-$B67)</f>
        <v/>
      </c>
      <c r="D67" s="216">
        <f>$B67*D$62-(1-$B67)</f>
        <v/>
      </c>
      <c r="E67" s="216">
        <f>$B67*E$62-(1-$B67)</f>
        <v/>
      </c>
      <c r="F67" s="216">
        <f>$B67*F$62-(1-$B67)</f>
        <v/>
      </c>
      <c r="G67" s="216">
        <f>$B67*G$62-(1-$B67)</f>
        <v/>
      </c>
      <c r="H67" s="216">
        <f>$B67*H$62-(1-$B67)</f>
        <v/>
      </c>
    </row>
    <row r="68" ht="21" customHeight="1">
      <c r="B68" s="208" t="n">
        <v>0.55</v>
      </c>
      <c r="C68" s="216">
        <f>$B68*C$62-(1-$B68)</f>
        <v/>
      </c>
      <c r="D68" s="216">
        <f>$B68*D$62-(1-$B68)</f>
        <v/>
      </c>
      <c r="E68" s="216">
        <f>$B68*E$62-(1-$B68)</f>
        <v/>
      </c>
      <c r="F68" s="216">
        <f>$B68*F$62-(1-$B68)</f>
        <v/>
      </c>
      <c r="G68" s="216">
        <f>$B68*G$62-(1-$B68)</f>
        <v/>
      </c>
      <c r="H68" s="216">
        <f>$B68*H$62-(1-$B68)</f>
        <v/>
      </c>
    </row>
    <row r="69" ht="21" customHeight="1">
      <c r="B69" s="208" t="n">
        <v>0.6</v>
      </c>
      <c r="C69" s="216">
        <f>$B69*C$62-(1-$B69)</f>
        <v/>
      </c>
      <c r="D69" s="216">
        <f>$B69*D$62-(1-$B69)</f>
        <v/>
      </c>
      <c r="E69" s="216">
        <f>$B69*E$62-(1-$B69)</f>
        <v/>
      </c>
      <c r="F69" s="216">
        <f>$B69*F$62-(1-$B69)</f>
        <v/>
      </c>
      <c r="G69" s="216">
        <f>$B69*G$62-(1-$B69)</f>
        <v/>
      </c>
      <c r="H69" s="216">
        <f>$B69*H$62-(1-$B69)</f>
        <v/>
      </c>
    </row>
    <row r="70" ht="21" customHeight="1">
      <c r="B70" s="208" t="n">
        <v>0.65</v>
      </c>
      <c r="C70" s="216">
        <f>$B70*C$62-(1-$B70)</f>
        <v/>
      </c>
      <c r="D70" s="216">
        <f>$B70*D$62-(1-$B70)</f>
        <v/>
      </c>
      <c r="E70" s="216">
        <f>$B70*E$62-(1-$B70)</f>
        <v/>
      </c>
      <c r="F70" s="216">
        <f>$B70*F$62-(1-$B70)</f>
        <v/>
      </c>
      <c r="G70" s="216">
        <f>$B70*G$62-(1-$B70)</f>
        <v/>
      </c>
      <c r="H70" s="216">
        <f>$B70*H$62-(1-$B70)</f>
        <v/>
      </c>
    </row>
    <row r="71" ht="21" customHeight="1">
      <c r="B71" s="208" t="n">
        <v>0.7</v>
      </c>
      <c r="C71" s="216">
        <f>$B71*C$62-(1-$B71)</f>
        <v/>
      </c>
      <c r="D71" s="216">
        <f>$B71*D$62-(1-$B71)</f>
        <v/>
      </c>
      <c r="E71" s="216">
        <f>$B71*E$62-(1-$B71)</f>
        <v/>
      </c>
      <c r="F71" s="216">
        <f>$B71*F$62-(1-$B71)</f>
        <v/>
      </c>
      <c r="G71" s="216">
        <f>$B71*G$62-(1-$B71)</f>
        <v/>
      </c>
      <c r="H71" s="216">
        <f>$B71*H$62-(1-$B71)</f>
        <v/>
      </c>
    </row>
    <row r="72" ht="22" customHeight="1">
      <c r="B72" s="199" t="inlineStr">
        <is>
          <t>Taux de réussite d'équilibre</t>
        </is>
      </c>
      <c r="C72" s="201">
        <f>1/(1+C62)</f>
        <v/>
      </c>
      <c r="D72" s="201">
        <f>1/(1+D62)</f>
        <v/>
      </c>
      <c r="E72" s="201">
        <f>1/(1+E62)</f>
        <v/>
      </c>
      <c r="F72" s="201">
        <f>1/(1+F62)</f>
        <v/>
      </c>
      <c r="G72" s="201">
        <f>1/(1+G62)</f>
        <v/>
      </c>
      <c r="H72" s="201">
        <f>1/(1+H62)</f>
        <v/>
      </c>
    </row>
    <row r="73">
      <c r="B73" s="217" t="inlineStr">
        <is>
          <t>Lecture : vert = espérance positive, rouge = espérance négative. Avec un R:R de 2, il suffit de gagner un trade sur trois (34 %) pour ne pas perdre d'argent avant frais.</t>
        </is>
      </c>
      <c r="C73" s="217" t="n"/>
      <c r="D73" s="217" t="n"/>
      <c r="E73" s="217" t="n"/>
      <c r="F73" s="217" t="n"/>
      <c r="G73" s="217" t="n"/>
      <c r="H73" s="217" t="n"/>
      <c r="I73" s="217" t="n"/>
    </row>
    <row r="74">
      <c r="B74" s="217" t="n"/>
      <c r="C74" s="217" t="n"/>
      <c r="D74" s="217" t="n"/>
      <c r="E74" s="217" t="n"/>
      <c r="F74" s="217" t="n"/>
      <c r="G74" s="217" t="n"/>
      <c r="H74" s="217" t="n"/>
      <c r="I74" s="217" t="n"/>
    </row>
  </sheetData>
  <mergeCells count="17">
    <mergeCell ref="B18:I18"/>
    <mergeCell ref="C14:I14"/>
    <mergeCell ref="B58:I58"/>
    <mergeCell ref="C13:I13"/>
    <mergeCell ref="Q2:R2"/>
    <mergeCell ref="C9:I9"/>
    <mergeCell ref="B6:I6"/>
    <mergeCell ref="C8:I8"/>
    <mergeCell ref="B34:I34"/>
    <mergeCell ref="C12:I12"/>
    <mergeCell ref="B61:I61"/>
    <mergeCell ref="B73:I74"/>
    <mergeCell ref="C7:I7"/>
    <mergeCell ref="C10:I10"/>
    <mergeCell ref="C16:I16"/>
    <mergeCell ref="C15:I15"/>
    <mergeCell ref="C11:I11"/>
  </mergeCells>
  <conditionalFormatting sqref="C20:C31">
    <cfRule type="colorScale" priority="1">
      <colorScale>
        <cfvo type="min"/>
        <cfvo type="percentile" val="50"/>
        <cfvo type="max"/>
        <color rgb="00D1FAE5"/>
        <color rgb="00FEF3C7"/>
        <color rgb="00FCA5A5"/>
      </colorScale>
    </cfRule>
  </conditionalFormatting>
  <conditionalFormatting sqref="C36:G56">
    <cfRule type="colorScale" priority="2">
      <colorScale>
        <cfvo type="min"/>
        <cfvo type="percentile" val="50"/>
        <cfvo type="max"/>
        <color rgb="00FCA5A5"/>
        <color rgb="00FEF3C7"/>
        <color rgb="00D1FAE5"/>
      </colorScale>
    </cfRule>
  </conditionalFormatting>
  <conditionalFormatting sqref="C63:H71">
    <cfRule type="colorScale" priority="3">
      <colorScale>
        <cfvo type="num" val="-1"/>
        <cfvo type="num" val="0"/>
        <cfvo type="num" val="1.5"/>
        <color rgb="00FCA5A5"/>
        <color rgb="00FFFFFF"/>
        <color rgb="0086EFAC"/>
      </colorScale>
    </cfRule>
  </conditionalFormatting>
  <hyperlinks>
    <hyperlink ref="Q2" location="'Accueil'!A1" display="Accueil"/>
  </hyperlinks>
  <printOptions horizontalCentered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tabColor rgb="008B5CF6"/>
    <outlinePr summaryBelow="1" summaryRight="1"/>
    <pageSetUpPr fitToPage="1"/>
  </sheetPr>
  <dimension ref="A1:J18"/>
  <sheetViews>
    <sheetView showGridLines="0" tabSelected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" customWidth="1" min="1" max="1"/>
    <col width="24" customWidth="1" min="2" max="2"/>
    <col width="38" customWidth="1" min="3" max="3"/>
    <col width="38" customWidth="1" min="4" max="4"/>
    <col width="36" customWidth="1" min="5" max="5"/>
    <col width="30" customWidth="1" min="6" max="6"/>
    <col width="32" customWidth="1" min="7" max="7"/>
    <col width="9" customWidth="1" min="8" max="8"/>
    <col width="36" customWidth="1" min="9" max="9"/>
    <col width="2" customWidth="1" min="10" max="10"/>
  </cols>
  <sheetData>
    <row r="1" ht="22" customHeight="1">
      <c r="A1" s="1" t="n"/>
      <c r="B1" s="2">
        <f>'Paramètres'!$C$7</f>
        <v/>
      </c>
      <c r="C1" s="1" t="n"/>
      <c r="D1" s="1" t="n"/>
      <c r="E1" s="1" t="n"/>
      <c r="F1" s="1" t="n"/>
      <c r="G1" s="1" t="n"/>
      <c r="H1" s="1" t="n"/>
      <c r="I1" s="1" t="n"/>
      <c r="J1" s="1" t="n"/>
    </row>
    <row r="2" ht="30" customHeight="1">
      <c r="A2" s="1" t="n"/>
      <c r="B2" s="32" t="inlineStr">
        <is>
          <t>Stratégies swing</t>
        </is>
      </c>
      <c r="C2" s="1" t="n"/>
      <c r="D2" s="1" t="n"/>
      <c r="E2" s="1" t="n"/>
      <c r="F2" s="1" t="n"/>
      <c r="G2" s="1" t="n"/>
      <c r="H2" s="33" t="inlineStr">
        <is>
          <t>← Accueil</t>
        </is>
      </c>
      <c r="I2" s="1" t="n"/>
      <c r="J2" s="1" t="n"/>
    </row>
    <row r="3" ht="18" customHeight="1">
      <c r="A3" s="1" t="n"/>
      <c r="B3" s="4" t="inlineStr">
        <is>
          <t>Dix setups classiques : conditions, déclencheur, stop et objectif.</t>
        </is>
      </c>
      <c r="C3" s="1" t="n"/>
      <c r="D3" s="1" t="n"/>
      <c r="E3" s="1" t="n"/>
      <c r="F3" s="1" t="n"/>
      <c r="G3" s="1" t="n"/>
      <c r="H3" s="1" t="n"/>
      <c r="I3" s="1" t="n"/>
      <c r="J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</row>
    <row r="6" ht="30" customHeight="1">
      <c r="B6" s="218" t="inlineStr">
        <is>
          <t>Chaque setup est une hypothèse statistique, pas une certitude. Teste-les sur ton marché et ton timeframe, garde uniquement ceux dont l'espérance est positive dans ton Journal.</t>
        </is>
      </c>
      <c r="C6" s="218" t="n"/>
      <c r="D6" s="218" t="n"/>
      <c r="E6" s="218" t="n"/>
      <c r="F6" s="218" t="n"/>
      <c r="G6" s="218" t="n"/>
      <c r="H6" s="218" t="n"/>
      <c r="I6" s="218" t="n"/>
    </row>
    <row r="8" ht="28" customHeight="1">
      <c r="B8" s="83" t="inlineStr">
        <is>
          <t>Setup</t>
        </is>
      </c>
      <c r="C8" s="117" t="inlineStr">
        <is>
          <t>Principe</t>
        </is>
      </c>
      <c r="D8" s="117" t="inlineStr">
        <is>
          <t>Conditions idéales</t>
        </is>
      </c>
      <c r="E8" s="117" t="inlineStr">
        <is>
          <t>Déclencheur d'entrée</t>
        </is>
      </c>
      <c r="F8" s="117" t="inlineStr">
        <is>
          <t>Stop-loss</t>
        </is>
      </c>
      <c r="G8" s="117" t="inlineStr">
        <is>
          <t>Objectif</t>
        </is>
      </c>
      <c r="H8" s="117" t="inlineStr">
        <is>
          <t>R:R visé</t>
        </is>
      </c>
      <c r="I8" s="117" t="inlineStr">
        <is>
          <t>Pièges à éviter</t>
        </is>
      </c>
    </row>
    <row r="9" ht="47" customHeight="1">
      <c r="B9" s="35" t="inlineStr">
        <is>
          <t>Breakout (cassure de résistance)</t>
        </is>
      </c>
      <c r="C9" s="37" t="inlineStr">
        <is>
          <t>Le prix franchit une zone testée plusieurs fois : la demande absorbe l'offre et ouvre la voie à une extension.</t>
        </is>
      </c>
      <c r="D9" s="37" t="inlineStr">
        <is>
          <t>Tendance de fond haussière, consolidation serrée sous la résistance, volume en baisse pendant la compression.</t>
        </is>
      </c>
      <c r="E9" s="37" t="inlineStr">
        <is>
          <t>Clôture au-dessus du niveau avec un volume supérieur à la moyenne, ou retest réussi de la zone cassée.</t>
        </is>
      </c>
      <c r="F9" s="37" t="inlineStr">
        <is>
          <t>Sous la résistance devenue support, ou sous le dernier creux de la consolidation.</t>
        </is>
      </c>
      <c r="G9" s="37" t="inlineStr">
        <is>
          <t>Hauteur de la consolidation projetée depuis la cassure, ou prochaine résistance majeure.</t>
        </is>
      </c>
      <c r="H9" s="37" t="inlineStr">
        <is>
          <t>2 – 3</t>
        </is>
      </c>
      <c r="I9" s="37" t="inlineStr">
        <is>
          <t>Fausses cassures sans volume, entrée en extension loin du niveau, cassure à contre-courant de la tendance.</t>
        </is>
      </c>
    </row>
    <row r="10" ht="60" customHeight="1">
      <c r="B10" s="56" t="inlineStr">
        <is>
          <t>Pullback / Retracement</t>
        </is>
      </c>
      <c r="C10" s="57" t="inlineStr">
        <is>
          <t>Acheter un repli temporaire dans une tendance haussière établie (ou vendre un rebond dans une tendance baissière).</t>
        </is>
      </c>
      <c r="D10" s="57" t="inlineStr">
        <is>
          <t>Structure de plus hauts / plus bas, MM50 au-dessus de la MM200, repli ordonné à volume décroissant vers MM20/MM50 ou 38–61,8 % Fibonacci.</t>
        </is>
      </c>
      <c r="E10" s="57" t="inlineStr">
        <is>
          <t>Bougie de rejet sur la zone de support, puis reprise au-dessus du plus haut de la bougie précédente.</t>
        </is>
      </c>
      <c r="F10" s="57" t="inlineStr">
        <is>
          <t>Sous le creux du repli, ou 1 à 1,5 ATR sous l'entrée.</t>
        </is>
      </c>
      <c r="G10" s="57" t="inlineStr">
        <is>
          <t>Retest du dernier sommet, puis extension 127 – 161,8 %.</t>
        </is>
      </c>
      <c r="H10" s="57" t="inlineStr">
        <is>
          <t>2 – 3</t>
        </is>
      </c>
      <c r="I10" s="57" t="inlineStr">
        <is>
          <t>Confondre retournement et simple repli, entrer sans confirmation, acheter un repli profond qui casse la structure.</t>
        </is>
      </c>
    </row>
    <row r="11" ht="47" customHeight="1">
      <c r="B11" s="35" t="inlineStr">
        <is>
          <t>Retest support / résistance (flip)</t>
        </is>
      </c>
      <c r="C11" s="37" t="inlineStr">
        <is>
          <t>Une ancienne résistance cassée devient un support (et inversement) : les participants défendent le niveau.</t>
        </is>
      </c>
      <c r="D11" s="37" t="inlineStr">
        <is>
          <t>Cassure nette et franche au préalable, retest sur volume faible, niveau visible sur plusieurs timeframes.</t>
        </is>
      </c>
      <c r="E11" s="37" t="inlineStr">
        <is>
          <t>Rejet du niveau avec bougie de confirmation (mèche de rejet, avalement).</t>
        </is>
      </c>
      <c r="F11" s="37" t="inlineStr">
        <is>
          <t>De l'autre côté du niveau avec une marge d'un demi à un ATR.</t>
        </is>
      </c>
      <c r="G11" s="37" t="inlineStr">
        <is>
          <t>Extension précédente ou prochain niveau clé.</t>
        </is>
      </c>
      <c r="H11" s="37" t="inlineStr">
        <is>
          <t>2 – 4</t>
        </is>
      </c>
      <c r="I11" s="37" t="inlineStr">
        <is>
          <t>Niveau trop imprécis (trace une zone, pas une ligne), retest qui s'éternise : le niveau finit par céder.</t>
        </is>
      </c>
    </row>
    <row r="12" ht="47" customHeight="1">
      <c r="B12" s="56" t="inlineStr">
        <is>
          <t>Retournement (double top / double bottom)</t>
        </is>
      </c>
      <c r="C12" s="57" t="inlineStr">
        <is>
          <t>Deux tests échoués d'un même niveau signalent l'épuisement de la tendance en cours.</t>
        </is>
      </c>
      <c r="D12" s="57" t="inlineStr">
        <is>
          <t>Tendance prolongée, divergence RSI sur le second test, volume décroissant sur la seconde poussée.</t>
        </is>
      </c>
      <c r="E12" s="57" t="inlineStr">
        <is>
          <t>Cassure de la ligne de cou (neckline) en clôture, idéalement avec volume.</t>
        </is>
      </c>
      <c r="F12" s="57" t="inlineStr">
        <is>
          <t>Au-delà du second sommet / creux.</t>
        </is>
      </c>
      <c r="G12" s="57" t="inlineStr">
        <is>
          <t>Hauteur de la figure projetée depuis la ligne de cou.</t>
        </is>
      </c>
      <c r="H12" s="57" t="inlineStr">
        <is>
          <t>2 – 3</t>
        </is>
      </c>
      <c r="I12" s="57" t="inlineStr">
        <is>
          <t>Anticiper avant la cassure de la ligne de cou, figures trop petites ou trop serrées, ignorer le contexte.</t>
        </is>
      </c>
    </row>
    <row r="13" ht="47" customHeight="1">
      <c r="B13" s="35" t="inlineStr">
        <is>
          <t>Continuation de tendance</t>
        </is>
      </c>
      <c r="C13" s="37" t="inlineStr">
        <is>
          <t>Rester positionné dans une tendance tant que sa structure tient et laisser courir les gains.</t>
        </is>
      </c>
      <c r="D13" s="37" t="inlineStr">
        <is>
          <t>ADX &gt; 25, prix au-dessus des MM50 et MM200 alignées, cassures de nouveaux sommets.</t>
        </is>
      </c>
      <c r="E13" s="37" t="inlineStr">
        <is>
          <t>Nouveau plus haut en clôture, ou pullback sur la MM20 avec reprise.</t>
        </is>
      </c>
      <c r="F13" s="37" t="inlineStr">
        <is>
          <t>Stop suiveur sous le dernier creux ou sous la MM20 (ou 3 ATR depuis le plus haut).</t>
        </is>
      </c>
      <c r="G13" s="37" t="inlineStr">
        <is>
          <t>Pas d'objectif fixe : sortie par stop suiveur.</t>
        </is>
      </c>
      <c r="H13" s="37" t="inlineStr">
        <is>
          <t>3 +</t>
        </is>
      </c>
      <c r="I13" s="37" t="inlineStr">
        <is>
          <t>Sortir trop tôt, renforcer en fin de tendance, utiliser ce setup sur un marché sans direction.</t>
        </is>
      </c>
    </row>
    <row r="14" ht="47" customHeight="1">
      <c r="B14" s="56" t="inlineStr">
        <is>
          <t>Range (rebond bas / haut)</t>
        </is>
      </c>
      <c r="C14" s="57" t="inlineStr">
        <is>
          <t>Acheter la borne basse et vendre la borne haute d'un canal horizontal clairement défini.</t>
        </is>
      </c>
      <c r="D14" s="57" t="inlineStr">
        <is>
          <t>ADX &lt; 20, au moins deux touches de chaque borne, volatilité en contraction.</t>
        </is>
      </c>
      <c r="E14" s="57" t="inlineStr">
        <is>
          <t>Rejet sur la borne avec bougie de retournement.</t>
        </is>
      </c>
      <c r="F14" s="57" t="inlineStr">
        <is>
          <t>Hors du range : au-delà de la borne + 1 ATR.</t>
        </is>
      </c>
      <c r="G14" s="57" t="inlineStr">
        <is>
          <t>Milieu du range, puis borne opposée.</t>
        </is>
      </c>
      <c r="H14" s="57" t="inlineStr">
        <is>
          <t>1,5 – 2,5</t>
        </is>
      </c>
      <c r="I14" s="57" t="inlineStr">
        <is>
          <t>Rester à contre-courant après une cassure du range, trader un range trop étroit pour couvrir les frais.</t>
        </is>
      </c>
    </row>
    <row r="15" ht="47" customHeight="1">
      <c r="B15" s="35" t="inlineStr">
        <is>
          <t>Flag / Pennant</t>
        </is>
      </c>
      <c r="C15" s="37" t="inlineStr">
        <is>
          <t>Courte pause après une impulsion forte, avant une continuation dans le même sens.</t>
        </is>
      </c>
      <c r="D15" s="37" t="inlineStr">
        <is>
          <t>Impulsion verticale (le mât), consolidation en pente contraire, volume qui se contracte.</t>
        </is>
      </c>
      <c r="E15" s="37" t="inlineStr">
        <is>
          <t>Cassure de la bordure de la flag avec retour du volume.</t>
        </is>
      </c>
      <c r="F15" s="37" t="inlineStr">
        <is>
          <t>Sous le creux de la flag.</t>
        </is>
      </c>
      <c r="G15" s="37" t="inlineStr">
        <is>
          <t>Hauteur du mât reportée depuis la cassure.</t>
        </is>
      </c>
      <c r="H15" s="37" t="inlineStr">
        <is>
          <t>2 – 3</t>
        </is>
      </c>
      <c r="I15" s="37" t="inlineStr">
        <is>
          <t>Flag trop longue (perte de momentum), cassure sans volume, impulsion initiale trop faible.</t>
        </is>
      </c>
    </row>
    <row r="16" ht="47" customHeight="1">
      <c r="B16" s="56" t="inlineStr">
        <is>
          <t>Divergence RSI / MACD</t>
        </is>
      </c>
      <c r="C16" s="57" t="inlineStr">
        <is>
          <t>Le prix signe un nouvel extrême mais pas l'indicateur : le momentum s'affaiblit.</t>
        </is>
      </c>
      <c r="D16" s="57" t="inlineStr">
        <is>
          <t>Zone de support / résistance majeure, timeframe 4H ou 1D, deux sommets (ou creux) successifs.</t>
        </is>
      </c>
      <c r="E16" s="57" t="inlineStr">
        <is>
          <t>Confirmation par la structure : cassure de la dernière micro-structure dans le sens du retournement.</t>
        </is>
      </c>
      <c r="F16" s="57" t="inlineStr">
        <is>
          <t>Au-delà de l'extrême de la divergence.</t>
        </is>
      </c>
      <c r="G16" s="57" t="inlineStr">
        <is>
          <t>Retour vers la MM50 ou le dernier swing opposé.</t>
        </is>
      </c>
      <c r="H16" s="57" t="inlineStr">
        <is>
          <t>2 – 3</t>
        </is>
      </c>
      <c r="I16" s="57" t="inlineStr">
        <is>
          <t>Divergences multiples en tendance forte, entrer sans confirmation, négliger le contexte de tendance supérieure.</t>
        </is>
      </c>
    </row>
    <row r="17" ht="47" customHeight="1">
      <c r="B17" s="35" t="inlineStr">
        <is>
          <t>Cassure de trendline</t>
        </is>
      </c>
      <c r="C17" s="37" t="inlineStr">
        <is>
          <t>La rupture d'une ligne de tendance validée signale un changement de dynamique, souvent suivi d'un retest.</t>
        </is>
      </c>
      <c r="D17" s="37" t="inlineStr">
        <is>
          <t>Ligne validée par au moins trois points, pente modérée, volume en hausse sur la cassure.</t>
        </is>
      </c>
      <c r="E17" s="37" t="inlineStr">
        <is>
          <t>Retest de la ligne cassée avec rejet, ou clôture au-delà de la ligne.</t>
        </is>
      </c>
      <c r="F17" s="37" t="inlineStr">
        <is>
          <t>De l'autre côté de la ligne, sous le dernier swing.</t>
        </is>
      </c>
      <c r="G17" s="37" t="inlineStr">
        <is>
          <t>Dernier swing ou structure précédente.</t>
        </is>
      </c>
      <c r="H17" s="37" t="inlineStr">
        <is>
          <t>2</t>
        </is>
      </c>
      <c r="I17" s="37" t="inlineStr">
        <is>
          <t>Lignes forcées à travers les mèches, pentes trop raides qui cèdent facilement, ignorer la tendance supérieure.</t>
        </is>
      </c>
    </row>
    <row r="18" ht="47" customHeight="1">
      <c r="B18" s="56" t="inlineStr">
        <is>
          <t>Compression de volatilité (squeeze)</t>
        </is>
      </c>
      <c r="C18" s="57" t="inlineStr">
        <is>
          <t>Les périodes de faible volatilité précèdent souvent une expansion directionnelle.</t>
        </is>
      </c>
      <c r="D18" s="57" t="inlineStr">
        <is>
          <t>Bandes de Bollinger au plus serré sur plusieurs mois, ATR bas, volume en contraction.</t>
        </is>
      </c>
      <c r="E18" s="57" t="inlineStr">
        <is>
          <t>Première clôture hors du range de compression avec volume.</t>
        </is>
      </c>
      <c r="F18" s="57" t="inlineStr">
        <is>
          <t>Milieu de la compression ou côté opposé.</t>
        </is>
      </c>
      <c r="G18" s="57" t="inlineStr">
        <is>
          <t>Au moins 2 ATR depuis la sortie, ou extension mesurée de la compression.</t>
        </is>
      </c>
      <c r="H18" s="57" t="inlineStr">
        <is>
          <t>2 – 3</t>
        </is>
      </c>
      <c r="I18" s="57" t="inlineStr">
        <is>
          <t>Direction incertaine : attendre la cassure, faux départs fréquents, entrer avant la confirmation.</t>
        </is>
      </c>
    </row>
  </sheetData>
  <mergeCells count="2">
    <mergeCell ref="B6:I6"/>
    <mergeCell ref="H2:I2"/>
  </mergeCells>
  <hyperlinks>
    <hyperlink ref="H2" location="'Accueil'!A1" display="Accueil"/>
  </hyperlinks>
  <printOptions horizontalCentered="1"/>
  <pageMargins left="0.75" right="0.75" top="1" bottom="1" header="0.5" footer="0.5"/>
  <pageSetup orientation="landscape" fitToHeight="0" fitToWidth="1"/>
</worksheet>
</file>

<file path=xl/worksheets/sheet13.xml><?xml version="1.0" encoding="utf-8"?>
<worksheet xmlns="http://schemas.openxmlformats.org/spreadsheetml/2006/main">
  <sheetPr>
    <tabColor rgb="008B5CF6"/>
    <outlinePr summaryBelow="1" summaryRight="1"/>
    <pageSetUpPr fitToPage="1"/>
  </sheetPr>
  <dimension ref="A1:G21"/>
  <sheetViews>
    <sheetView showGridLines="0" tabSelected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" customWidth="1" min="1" max="1"/>
    <col width="24" customWidth="1" min="2" max="2"/>
    <col width="30" customWidth="1" min="3" max="3"/>
    <col width="18" customWidth="1" min="4" max="4"/>
    <col width="60" customWidth="1" min="5" max="5"/>
    <col width="40" customWidth="1" min="6" max="6"/>
    <col width="2" customWidth="1" min="7" max="7"/>
  </cols>
  <sheetData>
    <row r="1" ht="22" customHeight="1">
      <c r="A1" s="1" t="n"/>
      <c r="B1" s="2">
        <f>'Paramètres'!$C$7</f>
        <v/>
      </c>
      <c r="C1" s="1" t="n"/>
      <c r="D1" s="1" t="n"/>
      <c r="E1" s="1" t="n"/>
      <c r="F1" s="1" t="n"/>
      <c r="G1" s="1" t="n"/>
    </row>
    <row r="2" ht="30" customHeight="1">
      <c r="A2" s="1" t="n"/>
      <c r="B2" s="32" t="inlineStr">
        <is>
          <t>Indicateurs</t>
        </is>
      </c>
      <c r="C2" s="1" t="n"/>
      <c r="D2" s="1" t="n"/>
      <c r="E2" s="33" t="inlineStr">
        <is>
          <t>← Accueil</t>
        </is>
      </c>
      <c r="F2" s="1" t="n"/>
      <c r="G2" s="1" t="n"/>
    </row>
    <row r="3" ht="18" customHeight="1">
      <c r="A3" s="1" t="n"/>
      <c r="B3" s="4" t="inlineStr">
        <is>
          <t>Les outils essentiels et la manière de les lire en swing trading.</t>
        </is>
      </c>
      <c r="C3" s="1" t="n"/>
      <c r="D3" s="1" t="n"/>
      <c r="E3" s="1" t="n"/>
      <c r="F3" s="1" t="n"/>
      <c r="G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</row>
    <row r="6" ht="30" customHeight="1">
      <c r="B6" s="218" t="inlineStr">
        <is>
          <t>Utilise peu d'indicateurs et maîtrise-les : trois ou quatre complémentaires valent mieux que dix redondants.</t>
        </is>
      </c>
      <c r="C6" s="218" t="n"/>
      <c r="D6" s="218" t="n"/>
      <c r="E6" s="218" t="n"/>
      <c r="F6" s="218" t="n"/>
    </row>
    <row r="8" ht="28" customHeight="1">
      <c r="B8" s="83" t="inlineStr">
        <is>
          <t>Indicateur</t>
        </is>
      </c>
      <c r="C8" s="117" t="inlineStr">
        <is>
          <t>Ce qu'il mesure</t>
        </is>
      </c>
      <c r="D8" s="117" t="inlineStr">
        <is>
          <t>Réglage courant</t>
        </is>
      </c>
      <c r="E8" s="117" t="inlineStr">
        <is>
          <t>Lecture en swing trading</t>
        </is>
      </c>
      <c r="F8" s="117" t="inlineStr">
        <is>
          <t>Limites</t>
        </is>
      </c>
    </row>
    <row r="9" ht="60" customHeight="1">
      <c r="B9" s="35" t="inlineStr">
        <is>
          <t>Moyennes mobiles (MM20 / MM50 / MM200)</t>
        </is>
      </c>
      <c r="C9" s="37" t="inlineStr">
        <is>
          <t>La tendance et le niveau moyen du prix.</t>
        </is>
      </c>
      <c r="D9" s="37" t="inlineStr">
        <is>
          <t>EMA 20 · SMA 50 · SMA 200</t>
        </is>
      </c>
      <c r="E9" s="37" t="inlineStr">
        <is>
          <t>Prix au-dessus des MM50 et MM200 : biais haussier. La MM20 sert de zone de pullback en tendance forte. Le croisement MM50/MM200 (golden / death cross) confirme tardivement un changement de régime.</t>
        </is>
      </c>
      <c r="F9" s="37" t="inlineStr">
        <is>
          <t>Indicateurs retardataires, nombreux faux signaux en range.</t>
        </is>
      </c>
    </row>
    <row r="10" ht="47" customHeight="1">
      <c r="B10" s="56" t="inlineStr">
        <is>
          <t>RSI</t>
        </is>
      </c>
      <c r="C10" s="57" t="inlineStr">
        <is>
          <t>Le momentum sur une échelle de 0 à 100.</t>
        </is>
      </c>
      <c r="D10" s="57" t="inlineStr">
        <is>
          <t>14 périodes</t>
        </is>
      </c>
      <c r="E10" s="57" t="inlineStr">
        <is>
          <t>En tendance haussière, le RSI évolue plutôt entre 40 et 80 (les replis s'arrêtent vers 40-50) ; en baissière entre 20 et 60. Les divergences avec le prix préviennent d'un essoufflement.</t>
        </is>
      </c>
      <c r="F10" s="57" t="inlineStr">
        <is>
          <t>Un actif peut rester suracheté (&gt; 70) longtemps pendant une tendance forte : ne pas vendre par réflexe.</t>
        </is>
      </c>
    </row>
    <row r="11" ht="47" customHeight="1">
      <c r="B11" s="35" t="inlineStr">
        <is>
          <t>MACD</t>
        </is>
      </c>
      <c r="C11" s="37" t="inlineStr">
        <is>
          <t>La convergence / divergence de deux moyennes : momentum et tendance.</t>
        </is>
      </c>
      <c r="D11" s="37" t="inlineStr">
        <is>
          <t>12 · 26 · 9</t>
        </is>
      </c>
      <c r="E11" s="37" t="inlineStr">
        <is>
          <t>Croisement de la ligne MACD et de sa ligne signal, passage au-dessus de zéro, histogramme qui se contracte avant un retournement. Les divergences servent de signal d'alerte.</t>
        </is>
      </c>
      <c r="F11" s="37" t="inlineStr">
        <is>
          <t>Retard sur le prix, signaux contradictoires en range.</t>
        </is>
      </c>
    </row>
    <row r="12" ht="60" customHeight="1">
      <c r="B12" s="56" t="inlineStr">
        <is>
          <t>Volume</t>
        </is>
      </c>
      <c r="C12" s="57" t="inlineStr">
        <is>
          <t>L'intensité et la conviction derrière un mouvement.</t>
        </is>
      </c>
      <c r="D12" s="57" t="inlineStr">
        <is>
          <t>Moyenne sur 20 périodes</t>
        </is>
      </c>
      <c r="E12" s="57" t="inlineStr">
        <is>
          <t>Une cassure fiable s'accompagne d'un volume nettement supérieur à la moyenne. Un pullback sain se fait sur volume décroissant. Un volume très élevé sans progression du prix signale une absorption.</t>
        </is>
      </c>
      <c r="F12" s="57" t="inlineStr">
        <is>
          <t>Sur les cryptos, comparer les volumes d'une même place de marché.</t>
        </is>
      </c>
    </row>
    <row r="13" ht="47" customHeight="1">
      <c r="B13" s="35" t="inlineStr">
        <is>
          <t>ATR (Average True Range)</t>
        </is>
      </c>
      <c r="C13" s="37" t="inlineStr">
        <is>
          <t>La volatilité moyenne : l'amplitude normale d'une bougie.</t>
        </is>
      </c>
      <c r="D13" s="37" t="inlineStr">
        <is>
          <t>14 périodes</t>
        </is>
      </c>
      <c r="E13" s="37" t="inlineStr">
        <is>
          <t>Place le stop à 1,5 – 3 ATR de l'entrée pour sortir du bruit de marché, et adapte la taille de position à la volatilité : plus l'ATR est grand, plus la taille est réduite.</t>
        </is>
      </c>
      <c r="F13" s="37" t="inlineStr">
        <is>
          <t>Ne donne aucune direction, uniquement l'amplitude.</t>
        </is>
      </c>
    </row>
    <row r="14" ht="47" customHeight="1">
      <c r="B14" s="56" t="inlineStr">
        <is>
          <t>Bandes de Bollinger</t>
        </is>
      </c>
      <c r="C14" s="57" t="inlineStr">
        <is>
          <t>La volatilité relative autour d'une moyenne.</t>
        </is>
      </c>
      <c r="D14" s="57" t="inlineStr">
        <is>
          <t>20 · 2 écarts-types</t>
        </is>
      </c>
      <c r="E14" s="57" t="inlineStr">
        <is>
          <t>Un resserrement (squeeze) précède souvent une expansion. En tendance forte, le prix peut « marcher » le long de la bande : ce n'est pas un signal de retournement.</t>
        </is>
      </c>
      <c r="F14" s="57" t="inlineStr">
        <is>
          <t>Toucher une bande n'est pas un signal d'entrée en soi.</t>
        </is>
      </c>
    </row>
    <row r="15" ht="47" customHeight="1">
      <c r="B15" s="35" t="inlineStr">
        <is>
          <t>Retracements de Fibonacci</t>
        </is>
      </c>
      <c r="C15" s="37" t="inlineStr">
        <is>
          <t>Les zones de repli probables d'une impulsion.</t>
        </is>
      </c>
      <c r="D15" s="37" t="inlineStr">
        <is>
          <t>38,2 % · 50 % · 61,8 % · 78,6 %</t>
        </is>
      </c>
      <c r="E15" s="37" t="inlineStr">
        <is>
          <t>À utiliser en confluence avec un support, une moyenne mobile ou un niveau de volume. La zone 50 – 61,8 % est la plus surveillée par le marché.</t>
        </is>
      </c>
      <c r="F15" s="37" t="inlineStr">
        <is>
          <t>Subjectif : le choix du swing de départ change les niveaux.</t>
        </is>
      </c>
    </row>
    <row r="16" ht="60" customHeight="1">
      <c r="B16" s="56" t="inlineStr">
        <is>
          <t>Supports, résistances et structure</t>
        </is>
      </c>
      <c r="C16" s="57" t="inlineStr">
        <is>
          <t>Les zones où offre et demande se sont déjà affrontées.</t>
        </is>
      </c>
      <c r="D16" s="57" t="inlineStr">
        <is>
          <t>Zones, pas lignes exactes</t>
        </is>
      </c>
      <c r="E16" s="57" t="inlineStr">
        <is>
          <t>Identifie sur 1W et 1D les niveaux touchés au moins 2 à 3 fois. Une tendance haussière = suite de plus hauts et plus bas. La cassure de structure (nouveau plus bas en tendance haussière) est le premier signal d'alerte.</t>
        </is>
      </c>
      <c r="F16" s="57" t="inlineStr">
        <is>
          <t>Plus un niveau est testé, plus il est fragile.</t>
        </is>
      </c>
    </row>
    <row r="17" ht="47" customHeight="1">
      <c r="B17" s="35" t="inlineStr">
        <is>
          <t>ADX</t>
        </is>
      </c>
      <c r="C17" s="37" t="inlineStr">
        <is>
          <t>La force de la tendance (pas sa direction).</t>
        </is>
      </c>
      <c r="D17" s="37" t="inlineStr">
        <is>
          <t>14 périodes</t>
        </is>
      </c>
      <c r="E17" s="37" t="inlineStr">
        <is>
          <t>ADX &gt; 25 : tendance exploitable avec les setups de continuation. ADX &lt; 20 : marché sans direction, privilégie les setups de range ou reste à l'écart.</t>
        </is>
      </c>
      <c r="F17" s="37" t="inlineStr">
        <is>
          <t>Indicateur retardataire : il confirme après coup.</t>
        </is>
      </c>
    </row>
    <row r="18" ht="47" customHeight="1">
      <c r="B18" s="56" t="inlineStr">
        <is>
          <t>VWAP ancré</t>
        </is>
      </c>
      <c r="C18" s="57" t="inlineStr">
        <is>
          <t>Le prix moyen pondéré par le volume depuis un événement.</t>
        </is>
      </c>
      <c r="D18" s="57" t="inlineStr">
        <is>
          <t>Ancré sur un creux, un sommet ou une annonce</t>
        </is>
      </c>
      <c r="E18" s="57" t="inlineStr">
        <is>
          <t>Représente le prix d'équilibre des participants depuis l'ancrage. Prix au-dessus : les acheteurs sont en profit moyen ; un retest du VWAP est un point d'entrée classique.</t>
        </is>
      </c>
      <c r="F18" s="57" t="inlineStr">
        <is>
          <t>Dépend du point d'ancrage choisi.</t>
        </is>
      </c>
    </row>
    <row r="19" ht="47" customHeight="1">
      <c r="B19" s="35" t="inlineStr">
        <is>
          <t>Profil de volume (VPVR)</t>
        </is>
      </c>
      <c r="C19" s="37" t="inlineStr">
        <is>
          <t>Les prix où le plus de volume a été échangé.</t>
        </is>
      </c>
      <c r="D19" s="37" t="inlineStr">
        <is>
          <t>Sur la période d'analyse</t>
        </is>
      </c>
      <c r="E19" s="37" t="inlineStr">
        <is>
          <t>Les zones à fort volume (HVN) agissent comme aimants et supports / résistances ; les zones à faible volume (LVN) sont traversées rapidement.</t>
        </is>
      </c>
      <c r="F19" s="37" t="inlineStr">
        <is>
          <t>Nécessite des données de volume fiables.</t>
        </is>
      </c>
    </row>
    <row r="20" ht="60" customHeight="1">
      <c r="B20" s="56" t="inlineStr">
        <is>
          <t>Funding rate et Open Interest (crypto)</t>
        </is>
      </c>
      <c r="C20" s="57" t="inlineStr">
        <is>
          <t>Le positionnement des traders sur les produits dérivés.</t>
        </is>
      </c>
      <c r="D20" s="57" t="inlineStr">
        <is>
          <t>Données dérivés agrégées</t>
        </is>
      </c>
      <c r="E20" s="57" t="inlineStr">
        <is>
          <t>Un funding très positif avec un open interest en forte hausse indique des longs surchargés : le risque de liquidation en cascade augmente. Un funding négatif en tendance haussière peut nourrir un short squeeze.</t>
        </is>
      </c>
      <c r="F20" s="57" t="inlineStr">
        <is>
          <t>Indicateur de contexte, jamais un signal d'entrée seul.</t>
        </is>
      </c>
    </row>
    <row r="21" ht="47" customHeight="1">
      <c r="B21" s="35" t="inlineStr">
        <is>
          <t>Calendrier économique et événements</t>
        </is>
      </c>
      <c r="C21" s="37" t="inlineStr">
        <is>
          <t>Les annonces qui font bouger tout le marché.</t>
        </is>
      </c>
      <c r="D21" s="37" t="inlineStr">
        <is>
          <t>Hebdomadaire</t>
        </is>
      </c>
      <c r="E21" s="37" t="inlineStr">
        <is>
          <t>Vérifie chaque semaine les annonces macro (taux, inflation, emploi), les résultats d'entreprises et les événements propres à l'actif. Réduis ou évite les positions avant les annonces majeures.</t>
        </is>
      </c>
      <c r="F21" s="37" t="inlineStr">
        <is>
          <t>Les gaps et la volatilité peuvent dépasser ton stop.</t>
        </is>
      </c>
    </row>
  </sheetData>
  <mergeCells count="2">
    <mergeCell ref="E2:F2"/>
    <mergeCell ref="B6:F6"/>
  </mergeCells>
  <hyperlinks>
    <hyperlink ref="E2" location="'Accueil'!A1" display="Accueil"/>
  </hyperlinks>
  <printOptions horizontalCentered="1"/>
  <pageMargins left="0.75" right="0.75" top="1" bottom="1" header="0.5" footer="0.5"/>
  <pageSetup orientation="landscape" fitToHeight="0" fitToWidth="1"/>
</worksheet>
</file>

<file path=xl/worksheets/sheet14.xml><?xml version="1.0" encoding="utf-8"?>
<worksheet xmlns="http://schemas.openxmlformats.org/spreadsheetml/2006/main">
  <sheetPr>
    <tabColor rgb="008B5CF6"/>
    <outlinePr summaryBelow="1" summaryRight="1"/>
    <pageSetUpPr fitToPage="1"/>
  </sheetPr>
  <dimension ref="A1:G21"/>
  <sheetViews>
    <sheetView showGridLines="0" tabSelected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" customWidth="1" min="1" max="1"/>
    <col width="24" customWidth="1" min="2" max="2"/>
    <col width="12" customWidth="1" min="3" max="3"/>
    <col width="52" customWidth="1" min="4" max="4"/>
    <col width="38" customWidth="1" min="5" max="5"/>
    <col width="38" customWidth="1" min="6" max="6"/>
    <col width="2" customWidth="1" min="7" max="7"/>
  </cols>
  <sheetData>
    <row r="1" ht="22" customHeight="1">
      <c r="A1" s="1" t="n"/>
      <c r="B1" s="2">
        <f>'Paramètres'!$C$7</f>
        <v/>
      </c>
      <c r="C1" s="1" t="n"/>
      <c r="D1" s="1" t="n"/>
      <c r="E1" s="1" t="n"/>
      <c r="F1" s="1" t="n"/>
      <c r="G1" s="1" t="n"/>
    </row>
    <row r="2" ht="30" customHeight="1">
      <c r="A2" s="1" t="n"/>
      <c r="B2" s="32" t="inlineStr">
        <is>
          <t>Chandeliers japonais</t>
        </is>
      </c>
      <c r="C2" s="1" t="n"/>
      <c r="D2" s="1" t="n"/>
      <c r="E2" s="33" t="inlineStr">
        <is>
          <t>← Accueil</t>
        </is>
      </c>
      <c r="F2" s="1" t="n"/>
      <c r="G2" s="1" t="n"/>
    </row>
    <row r="3" ht="18" customHeight="1">
      <c r="A3" s="1" t="n"/>
      <c r="B3" s="4" t="inlineStr">
        <is>
          <t>Les figures clés, leur contexte et leur confirmation.</t>
        </is>
      </c>
      <c r="C3" s="1" t="n"/>
      <c r="D3" s="1" t="n"/>
      <c r="E3" s="1" t="n"/>
      <c r="F3" s="1" t="n"/>
      <c r="G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</row>
    <row r="6" ht="30" customHeight="1">
      <c r="B6" s="218" t="inlineStr">
        <is>
          <t>Une bougie isolée n'est qu'un signal d'alerte : sa valeur dépend du contexte (niveau, tendance, volume) et de la confirmation.</t>
        </is>
      </c>
      <c r="C6" s="218" t="n"/>
      <c r="D6" s="218" t="n"/>
      <c r="E6" s="218" t="n"/>
      <c r="F6" s="218" t="n"/>
    </row>
    <row r="8" ht="28" customHeight="1">
      <c r="B8" s="83" t="inlineStr">
        <is>
          <t>Figure</t>
        </is>
      </c>
      <c r="C8" s="117" t="inlineStr">
        <is>
          <t>Biais</t>
        </is>
      </c>
      <c r="D8" s="117" t="inlineStr">
        <is>
          <t>Description</t>
        </is>
      </c>
      <c r="E8" s="117" t="inlineStr">
        <is>
          <t>Contexte requis</t>
        </is>
      </c>
      <c r="F8" s="117" t="inlineStr">
        <is>
          <t>Confirmation</t>
        </is>
      </c>
    </row>
    <row r="9" ht="34" customHeight="1">
      <c r="B9" s="35" t="inlineStr">
        <is>
          <t>Marteau (Hammer)</t>
        </is>
      </c>
      <c r="C9" s="37" t="inlineStr">
        <is>
          <t>Haussier</t>
        </is>
      </c>
      <c r="D9" s="37" t="inlineStr">
        <is>
          <t>Petit corps en haut de la bougie, longue mèche basse (au moins 2 fois le corps), peu ou pas de mèche haute.</t>
        </is>
      </c>
      <c r="E9" s="37" t="inlineStr">
        <is>
          <t>Après une baisse, sur un support ou une zone de demande.</t>
        </is>
      </c>
      <c r="F9" s="37" t="inlineStr">
        <is>
          <t>Bougie suivante clôturant au-dessus du plus haut du marteau.</t>
        </is>
      </c>
    </row>
    <row r="10" ht="34" customHeight="1">
      <c r="B10" s="56" t="inlineStr">
        <is>
          <t>Étoile filante (Shooting star)</t>
        </is>
      </c>
      <c r="C10" s="57" t="inlineStr">
        <is>
          <t>Baissier</t>
        </is>
      </c>
      <c r="D10" s="57" t="inlineStr">
        <is>
          <t>Petit corps en bas, longue mèche haute (au moins 2 fois le corps), peu ou pas de mèche basse.</t>
        </is>
      </c>
      <c r="E10" s="57" t="inlineStr">
        <is>
          <t>Après une hausse, sur une résistance.</t>
        </is>
      </c>
      <c r="F10" s="57" t="inlineStr">
        <is>
          <t>Bougie suivante clôturant sous le plus bas de l'étoile.</t>
        </is>
      </c>
    </row>
    <row r="11" ht="34" customHeight="1">
      <c r="B11" s="35" t="inlineStr">
        <is>
          <t>Avalement haussier</t>
        </is>
      </c>
      <c r="C11" s="37" t="inlineStr">
        <is>
          <t>Haussier</t>
        </is>
      </c>
      <c r="D11" s="37" t="inlineStr">
        <is>
          <t>Une bougie haussière dont le corps englobe entièrement le corps de la bougie baissière précédente.</t>
        </is>
      </c>
      <c r="E11" s="37" t="inlineStr">
        <is>
          <t>Fin de baisse, sur un support ou après un pullback.</t>
        </is>
      </c>
      <c r="F11" s="37" t="inlineStr">
        <is>
          <t>Volume supérieur à la moyenne, clôture au-dessus de l'avalement.</t>
        </is>
      </c>
    </row>
    <row r="12" ht="34" customHeight="1">
      <c r="B12" s="56" t="inlineStr">
        <is>
          <t>Avalement baissier</t>
        </is>
      </c>
      <c r="C12" s="57" t="inlineStr">
        <is>
          <t>Baissier</t>
        </is>
      </c>
      <c r="D12" s="57" t="inlineStr">
        <is>
          <t>Une bougie baissière dont le corps englobe entièrement le corps de la bougie haussière précédente.</t>
        </is>
      </c>
      <c r="E12" s="57" t="inlineStr">
        <is>
          <t>Fin de hausse, sur une résistance.</t>
        </is>
      </c>
      <c r="F12" s="57" t="inlineStr">
        <is>
          <t>Volume élevé, clôture sous le bas de l'avalement.</t>
        </is>
      </c>
    </row>
    <row r="13" ht="34" customHeight="1">
      <c r="B13" s="35" t="inlineStr">
        <is>
          <t>Doji</t>
        </is>
      </c>
      <c r="C13" s="37" t="inlineStr">
        <is>
          <t>Indécision</t>
        </is>
      </c>
      <c r="D13" s="37" t="inlineStr">
        <is>
          <t>Ouverture et clôture quasi identiques, mèches de longueurs variables : équilibre entre acheteurs et vendeurs.</t>
        </is>
      </c>
      <c r="E13" s="37" t="inlineStr">
        <is>
          <t>N'a de valeur que sur un niveau clé ou après un mouvement prolongé.</t>
        </is>
      </c>
      <c r="F13" s="37" t="inlineStr">
        <is>
          <t>Direction de la bougie suivante.</t>
        </is>
      </c>
    </row>
    <row r="14" ht="47" customHeight="1">
      <c r="B14" s="56" t="inlineStr">
        <is>
          <t>Étoile du matin</t>
        </is>
      </c>
      <c r="C14" s="57" t="inlineStr">
        <is>
          <t>Haussier</t>
        </is>
      </c>
      <c r="D14" s="57" t="inlineStr">
        <is>
          <t>Trois bougies : une grande baissière, un petit corps (indécision), puis une grande haussière qui reprend plus de la moitié de la première.</t>
        </is>
      </c>
      <c r="E14" s="57" t="inlineStr">
        <is>
          <t>Après une baisse, sur un support.</t>
        </is>
      </c>
      <c r="F14" s="57" t="inlineStr">
        <is>
          <t>Clôture de la 3e bougie au-dessus du milieu de la 1re.</t>
        </is>
      </c>
    </row>
    <row r="15" ht="47" customHeight="1">
      <c r="B15" s="35" t="inlineStr">
        <is>
          <t>Étoile du soir</t>
        </is>
      </c>
      <c r="C15" s="37" t="inlineStr">
        <is>
          <t>Baissier</t>
        </is>
      </c>
      <c r="D15" s="37" t="inlineStr">
        <is>
          <t>Trois bougies : une grande haussière, un petit corps, puis une grande baissière qui efface plus de la moitié de la première.</t>
        </is>
      </c>
      <c r="E15" s="37" t="inlineStr">
        <is>
          <t>Après une hausse, sur une résistance.</t>
        </is>
      </c>
      <c r="F15" s="37" t="inlineStr">
        <is>
          <t>Clôture de la 3e bougie sous le milieu de la 1re.</t>
        </is>
      </c>
    </row>
    <row r="16" ht="34" customHeight="1">
      <c r="B16" s="56" t="inlineStr">
        <is>
          <t>Inside bar</t>
        </is>
      </c>
      <c r="C16" s="57" t="inlineStr">
        <is>
          <t>Compression</t>
        </is>
      </c>
      <c r="D16" s="57" t="inlineStr">
        <is>
          <t>Bougie entièrement contenue dans l'amplitude de la bougie précédente (la bougie mère).</t>
        </is>
      </c>
      <c r="E16" s="57" t="inlineStr">
        <is>
          <t>Consolidation avant cassure, souvent dans une tendance.</t>
        </is>
      </c>
      <c r="F16" s="57" t="inlineStr">
        <is>
          <t>Cassure du plus haut ou du plus bas de la bougie mère.</t>
        </is>
      </c>
    </row>
    <row r="17" ht="34" customHeight="1">
      <c r="B17" s="35" t="inlineStr">
        <is>
          <t>Harami</t>
        </is>
      </c>
      <c r="C17" s="37" t="inlineStr">
        <is>
          <t>Retournement possible</t>
        </is>
      </c>
      <c r="D17" s="37" t="inlineStr">
        <is>
          <t>Petit corps contenu dans le corps de la grande bougie précédente : ralentissement de l'élan.</t>
        </is>
      </c>
      <c r="E17" s="37" t="inlineStr">
        <is>
          <t>Après un mouvement directionnel marqué.</t>
        </is>
      </c>
      <c r="F17" s="37" t="inlineStr">
        <is>
          <t>Bougie suivante dans le sens du retournement.</t>
        </is>
      </c>
    </row>
    <row r="18" ht="34" customHeight="1">
      <c r="B18" s="56" t="inlineStr">
        <is>
          <t>Trois soldats blancs</t>
        </is>
      </c>
      <c r="C18" s="57" t="inlineStr">
        <is>
          <t>Haussier</t>
        </is>
      </c>
      <c r="D18" s="57" t="inlineStr">
        <is>
          <t>Trois bougies haussières consécutives, chacune clôturant près de son plus haut.</t>
        </is>
      </c>
      <c r="E18" s="57" t="inlineStr">
        <is>
          <t>Après une consolidation ou un creux.</t>
        </is>
      </c>
      <c r="F18" s="57" t="inlineStr">
        <is>
          <t>Attention à l'extension : ne pas entrer après trois bougies déjà très étendues.</t>
        </is>
      </c>
    </row>
    <row r="19" ht="34" customHeight="1">
      <c r="B19" s="35" t="inlineStr">
        <is>
          <t>Trois corbeaux noirs</t>
        </is>
      </c>
      <c r="C19" s="37" t="inlineStr">
        <is>
          <t>Baissier</t>
        </is>
      </c>
      <c r="D19" s="37" t="inlineStr">
        <is>
          <t>Trois bougies baissières consécutives, chacune clôturant près de son plus bas.</t>
        </is>
      </c>
      <c r="E19" s="37" t="inlineStr">
        <is>
          <t>Après une hausse ou sous une résistance.</t>
        </is>
      </c>
      <c r="F19" s="37" t="inlineStr">
        <is>
          <t>Attention à la survente : un rebond technique est possible.</t>
        </is>
      </c>
    </row>
    <row r="20" ht="34" customHeight="1">
      <c r="B20" s="56" t="inlineStr">
        <is>
          <t>Marubozu</t>
        </is>
      </c>
      <c r="C20" s="57" t="inlineStr">
        <is>
          <t>Conviction</t>
        </is>
      </c>
      <c r="D20" s="57" t="inlineStr">
        <is>
          <t>Bougie au corps plein sans mèche (ou presque) : un camp a dominé toute la période.</t>
        </is>
      </c>
      <c r="E20" s="57" t="inlineStr">
        <is>
          <t>Cassure d'un niveau important.</t>
        </is>
      </c>
      <c r="F20" s="57" t="inlineStr">
        <is>
          <t>Maintien du prix au-dessus (ou sous) du milieu du marubozu.</t>
        </is>
      </c>
    </row>
    <row r="21" ht="34" customHeight="1">
      <c r="B21" s="35" t="inlineStr">
        <is>
          <t>Pinces (Tweezer top / bottom)</t>
        </is>
      </c>
      <c r="C21" s="37" t="inlineStr">
        <is>
          <t>Retournement possible</t>
        </is>
      </c>
      <c r="D21" s="37" t="inlineStr">
        <is>
          <t>Deux bougies consécutives avec des extrêmes identiques sur un sommet ou un creux.</t>
        </is>
      </c>
      <c r="E21" s="37" t="inlineStr">
        <is>
          <t>Sur une résistance ou un support clairement identifié.</t>
        </is>
      </c>
      <c r="F21" s="37" t="inlineStr">
        <is>
          <t>Bougie suivante dans le sens du retournement.</t>
        </is>
      </c>
    </row>
  </sheetData>
  <mergeCells count="2">
    <mergeCell ref="E2:F2"/>
    <mergeCell ref="B6:F6"/>
  </mergeCells>
  <hyperlinks>
    <hyperlink ref="E2" location="'Accueil'!A1" display="Accueil"/>
  </hyperlinks>
  <printOptions horizontalCentered="1"/>
  <pageMargins left="0.75" right="0.75" top="1" bottom="1" header="0.5" footer="0.5"/>
  <pageSetup orientation="landscape" fitToHeight="0" fitToWidth="1"/>
</worksheet>
</file>

<file path=xl/worksheets/sheet15.xml><?xml version="1.0" encoding="utf-8"?>
<worksheet xmlns="http://schemas.openxmlformats.org/spreadsheetml/2006/main">
  <sheetPr>
    <tabColor rgb="008B5CF6"/>
    <outlinePr summaryBelow="1" summaryRight="1"/>
    <pageSetUpPr fitToPage="1"/>
  </sheetPr>
  <dimension ref="A1:E25"/>
  <sheetViews>
    <sheetView showGridLines="0" tabSelected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" customWidth="1" min="1" max="1"/>
    <col width="28" customWidth="1" min="2" max="2"/>
    <col width="56" customWidth="1" min="3" max="3"/>
    <col width="66" customWidth="1" min="4" max="4"/>
    <col width="2" customWidth="1" min="5" max="5"/>
  </cols>
  <sheetData>
    <row r="1" ht="22" customHeight="1">
      <c r="A1" s="1" t="n"/>
      <c r="B1" s="2">
        <f>'Paramètres'!$C$7</f>
        <v/>
      </c>
      <c r="C1" s="1" t="n"/>
      <c r="D1" s="1" t="n"/>
      <c r="E1" s="1" t="n"/>
    </row>
    <row r="2" ht="30" customHeight="1">
      <c r="A2" s="1" t="n"/>
      <c r="B2" s="32" t="inlineStr">
        <is>
          <t>Psychologie du trader</t>
        </is>
      </c>
      <c r="C2" s="33" t="inlineStr">
        <is>
          <t>← Accueil</t>
        </is>
      </c>
      <c r="D2" s="1" t="n"/>
      <c r="E2" s="1" t="n"/>
    </row>
    <row r="3" ht="18" customHeight="1">
      <c r="A3" s="1" t="n"/>
      <c r="B3" s="4" t="inlineStr">
        <is>
          <t>Les biais qui coûtent de l'argent et comment les neutraliser.</t>
        </is>
      </c>
      <c r="C3" s="1" t="n"/>
      <c r="D3" s="1" t="n"/>
      <c r="E3" s="1" t="n"/>
    </row>
    <row r="4" ht="4" customHeight="1">
      <c r="A4" s="5" t="n"/>
      <c r="B4" s="5" t="n"/>
      <c r="C4" s="5" t="n"/>
      <c r="D4" s="5" t="n"/>
      <c r="E4" s="5" t="n"/>
    </row>
    <row r="6" ht="28" customHeight="1">
      <c r="B6" s="83" t="inlineStr">
        <is>
          <t>Biais / piège</t>
        </is>
      </c>
      <c r="C6" s="117" t="inlineStr">
        <is>
          <t>Comment il se manifeste</t>
        </is>
      </c>
      <c r="D6" s="117" t="inlineStr">
        <is>
          <t>Antidote concret</t>
        </is>
      </c>
    </row>
    <row r="7" ht="34" customHeight="1">
      <c r="B7" s="35" t="inlineStr">
        <is>
          <t>FOMO (peur de rater)</t>
        </is>
      </c>
      <c r="C7" s="37" t="inlineStr">
        <is>
          <t>Tu entres après une bougie d'extension parce que « ça part sans moi », loin du niveau d'entrée prévu.</t>
        </is>
      </c>
      <c r="D7" s="37" t="inlineStr">
        <is>
          <t>Entrée uniquement sur niveau prévu. Si le prix s'est éloigné de plus de 0,5 R de ton entrée, tu passes. Il y aura un autre trade demain.</t>
        </is>
      </c>
    </row>
    <row r="8" ht="34" customHeight="1">
      <c r="B8" s="56" t="inlineStr">
        <is>
          <t>Revenge trading</t>
        </is>
      </c>
      <c r="C8" s="57" t="inlineStr">
        <is>
          <t>Après une perte, tu reprends immédiatement une position pour « te refaire », souvent avec une taille plus grande.</t>
        </is>
      </c>
      <c r="D8" s="57" t="inlineStr">
        <is>
          <t>Règle de pause : après 2 pertes consécutives, plus de trade pendant 24 h. Écris la perte dans le Journal avant tout nouveau trade.</t>
        </is>
      </c>
    </row>
    <row r="9" ht="34" customHeight="1">
      <c r="B9" s="35" t="inlineStr">
        <is>
          <t>Aversion à la perte</t>
        </is>
      </c>
      <c r="C9" s="37" t="inlineStr">
        <is>
          <t>Tu coupes tes gains trop vite et tu laisses courir tes pertes en espérant un retour.</t>
        </is>
      </c>
      <c r="D9" s="37" t="inlineStr">
        <is>
          <t>Stop posé dès l'entrée, objectif défini avant l'entrée. Compare le gain moyen et la perte moyenne dans l'onglet Analyse.</t>
        </is>
      </c>
    </row>
    <row r="10" ht="34" customHeight="1">
      <c r="B10" s="56" t="inlineStr">
        <is>
          <t>Excès de confiance</t>
        </is>
      </c>
      <c r="C10" s="57" t="inlineStr">
        <is>
          <t>Après une série gagnante, tu augmentes la taille ou tu assouplis tes critères.</t>
        </is>
      </c>
      <c r="D10" s="57" t="inlineStr">
        <is>
          <t>Le risque par trade reste identique quelle que soit la série. Les augmentations de taille suivent uniquement l'évolution du capital.</t>
        </is>
      </c>
    </row>
    <row r="11" ht="34" customHeight="1">
      <c r="B11" s="35" t="inlineStr">
        <is>
          <t>Biais de confirmation</t>
        </is>
      </c>
      <c r="C11" s="37" t="inlineStr">
        <is>
          <t>Tu ne vois que les éléments qui valident ta position et tu ignores les signaux contraires.</t>
        </is>
      </c>
      <c r="D11" s="37" t="inlineStr">
        <is>
          <t>Avant chaque entrée, écris une raison qui invaliderait ton trade. Si elle apparaît, tu sors.</t>
        </is>
      </c>
    </row>
    <row r="12" ht="34" customHeight="1">
      <c r="B12" s="56" t="inlineStr">
        <is>
          <t>Effet d'ancrage</t>
        </is>
      </c>
      <c r="C12" s="57" t="inlineStr">
        <is>
          <t>Tu attends que le prix revienne à ton prix d'achat pour sortir.</t>
        </is>
      </c>
      <c r="D12" s="57" t="inlineStr">
        <is>
          <t>Le marché ignore ton prix d'entrée. Pose-toi la question : « Entrerais-je ici aujourd'hui ? »</t>
        </is>
      </c>
    </row>
    <row r="13" ht="34" customHeight="1">
      <c r="B13" s="35" t="inlineStr">
        <is>
          <t>Paralysie après une perte</t>
        </is>
      </c>
      <c r="C13" s="37" t="inlineStr">
        <is>
          <t>Tu rates des setups valides parce que tu as peur de reperdre.</t>
        </is>
      </c>
      <c r="D13" s="37" t="inlineStr">
        <is>
          <t>Réduis la taille de moitié pour retrouver la confiance, mais continue d'exécuter ton plan. Vise l'exécution, pas le résultat.</t>
        </is>
      </c>
    </row>
    <row r="14" ht="34" customHeight="1">
      <c r="B14" s="56" t="inlineStr">
        <is>
          <t>Illusion de contrôle</t>
        </is>
      </c>
      <c r="C14" s="57" t="inlineStr">
        <is>
          <t>Tu penses pouvoir « sentir » le marché et tu multiplies les trades discrétionnaires hors plan.</t>
        </is>
      </c>
      <c r="D14" s="57" t="inlineStr">
        <is>
          <t>Seuls les setups listés dans ton plan sont tradables. Le reste est du bruit, quelle que soit ton impression.</t>
        </is>
      </c>
    </row>
    <row r="15" ht="34" customHeight="1">
      <c r="B15" s="35" t="inlineStr">
        <is>
          <t>Biais de récence</t>
        </is>
      </c>
      <c r="C15" s="37" t="inlineStr">
        <is>
          <t>Tes derniers trades pèsent plus dans ta décision que ton historique réel.</t>
        </is>
      </c>
      <c r="D15" s="37" t="inlineStr">
        <is>
          <t>Juge ton système sur au moins 30 trades dans le Dashboard, jamais sur les trois derniers.</t>
        </is>
      </c>
    </row>
    <row r="16" ht="34" customHeight="1">
      <c r="B16" s="56" t="inlineStr">
        <is>
          <t>Fatigue décisionnelle</t>
        </is>
      </c>
      <c r="C16" s="57" t="inlineStr">
        <is>
          <t>En fin de session ou de journée, ta qualité de décision chute et tu prends des trades moyens.</t>
        </is>
      </c>
      <c r="D16" s="57" t="inlineStr">
        <is>
          <t>Analyse tôt, place des alertes, limite-toi à 1 ou 2 sessions de décision par jour.</t>
        </is>
      </c>
    </row>
    <row r="18" ht="24" customHeight="1">
      <c r="B18" s="14" t="inlineStr">
        <is>
          <t>HYGIÈNE MENTALE</t>
        </is>
      </c>
      <c r="C18" s="15" t="n"/>
      <c r="D18" s="15" t="n"/>
    </row>
    <row r="19" ht="24" customHeight="1">
      <c r="B19" s="37" t="inlineStr">
        <is>
          <t>1.  Ne trade jamais fatigué, stressé, en colère ou après une mauvaise nouvelle personnelle.</t>
        </is>
      </c>
      <c r="C19" s="37" t="n"/>
      <c r="D19" s="37" t="n"/>
    </row>
    <row r="20" ht="24" customHeight="1">
      <c r="B20" s="57" t="inlineStr">
        <is>
          <t>2.  Définis une perte journalière maximale et arrête-toi dès qu'elle est atteinte.</t>
        </is>
      </c>
      <c r="C20" s="57" t="n"/>
      <c r="D20" s="57" t="n"/>
    </row>
    <row r="21" ht="24" customHeight="1">
      <c r="B21" s="37" t="inlineStr">
        <is>
          <t>3.  Pose alertes de prix et ordres conditionnels : tu n'as pas besoin de fixer l'écran.</t>
        </is>
      </c>
      <c r="C21" s="37" t="n"/>
      <c r="D21" s="37" t="n"/>
    </row>
    <row r="22" ht="24" customHeight="1">
      <c r="B22" s="57" t="inlineStr">
        <is>
          <t>4.  Dors suffisamment : la qualité des décisions dépend directement du sommeil.</t>
        </is>
      </c>
      <c r="C22" s="57" t="n"/>
      <c r="D22" s="57" t="n"/>
    </row>
    <row r="23" ht="24" customHeight="1">
      <c r="B23" s="37" t="inlineStr">
        <is>
          <t>5.  Sépare le capital de trading de ton capital de vie : un argent dont tu n'as pas besoin se trade mieux.</t>
        </is>
      </c>
      <c r="C23" s="37" t="n"/>
      <c r="D23" s="37" t="n"/>
    </row>
    <row r="24" ht="24" customHeight="1">
      <c r="B24" s="57" t="inlineStr">
        <is>
          <t>6.  Note ton état émotionnel dans le Check-in, tu verras vite à quelles conditions tu performes.</t>
        </is>
      </c>
      <c r="C24" s="57" t="n"/>
      <c r="D24" s="57" t="n"/>
    </row>
    <row r="25" ht="24" customHeight="1">
      <c r="B25" s="37" t="inlineStr">
        <is>
          <t>7.  Célèbre l'exécution du plan, pas le résultat : un trade perdant bien exécuté est un bon trade.</t>
        </is>
      </c>
      <c r="C25" s="37" t="n"/>
      <c r="D25" s="37" t="n"/>
    </row>
  </sheetData>
  <mergeCells count="9">
    <mergeCell ref="B19:D19"/>
    <mergeCell ref="C2:D2"/>
    <mergeCell ref="B23:D23"/>
    <mergeCell ref="B22:D22"/>
    <mergeCell ref="B18:D18"/>
    <mergeCell ref="B21:D21"/>
    <mergeCell ref="B25:D25"/>
    <mergeCell ref="B24:D24"/>
    <mergeCell ref="B20:D20"/>
  </mergeCells>
  <hyperlinks>
    <hyperlink ref="C2" location="'Accueil'!A1" display="Accueil"/>
  </hyperlinks>
  <printOptions horizontalCentered="1"/>
  <pageMargins left="0.75" right="0.75" top="1" bottom="1" header="0.5" footer="0.5"/>
  <pageSetup orientation="landscape" fitToHeight="0" fitToWidth="1"/>
</worksheet>
</file>

<file path=xl/worksheets/sheet16.xml><?xml version="1.0" encoding="utf-8"?>
<worksheet xmlns="http://schemas.openxmlformats.org/spreadsheetml/2006/main">
  <sheetPr>
    <tabColor rgb="008B5CF6"/>
    <outlinePr summaryBelow="1" summaryRight="1"/>
    <pageSetUpPr fitToPage="1"/>
  </sheetPr>
  <dimension ref="A1:Q131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12" customWidth="1" min="2" max="2"/>
    <col width="11" customWidth="1" min="3" max="3"/>
    <col width="11" customWidth="1" min="4" max="4"/>
    <col width="12" customWidth="1" min="5" max="5"/>
    <col width="11" customWidth="1" min="6" max="6"/>
    <col width="46" customWidth="1" min="7" max="7"/>
    <col width="3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2" customWidth="1" min="17" max="17"/>
  </cols>
  <sheetData>
    <row r="1" ht="22" customHeight="1">
      <c r="A1" s="1" t="n"/>
      <c r="B1" s="2">
        <f>'Paramètres'!$C$7</f>
        <v/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</row>
    <row r="2" ht="30" customHeight="1">
      <c r="A2" s="1" t="n"/>
      <c r="B2" s="32" t="inlineStr">
        <is>
          <t>Check-in quotidien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33" t="inlineStr">
        <is>
          <t>← Accueil</t>
        </is>
      </c>
      <c r="P2" s="1" t="n"/>
      <c r="Q2" s="1" t="n"/>
    </row>
    <row r="3" ht="18" customHeight="1">
      <c r="A3" s="1" t="n"/>
      <c r="B3" s="4" t="inlineStr">
        <is>
          <t>Note ton état du jour : tu verras à quelles conditions tu performes.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  <c r="P4" s="5" t="n"/>
      <c r="Q4" s="5" t="n"/>
    </row>
    <row r="6" ht="24" customHeight="1">
      <c r="B6" s="23" t="inlineStr">
        <is>
          <t>SYNTHÈSE</t>
        </is>
      </c>
      <c r="C6" s="24" t="n"/>
      <c r="D6" s="24" t="n"/>
      <c r="E6" s="24" t="n"/>
      <c r="F6" s="24" t="n"/>
      <c r="G6" s="24" t="n"/>
    </row>
    <row r="7" ht="22" customHeight="1">
      <c r="B7" s="219" t="inlineStr">
        <is>
          <t>Check-ins</t>
        </is>
      </c>
      <c r="C7" s="219" t="inlineStr">
        <is>
          <t>Humeur moy.</t>
        </is>
      </c>
      <c r="D7" s="219" t="inlineStr">
        <is>
          <t>Énergie moy.</t>
        </is>
      </c>
      <c r="E7" s="219" t="inlineStr">
        <is>
          <t>Discipline moy.</t>
        </is>
      </c>
      <c r="F7" s="219" t="inlineStr">
        <is>
          <t>Stress moy.</t>
        </is>
      </c>
      <c r="G7" s="220" t="inlineStr">
        <is>
          <t>Échelle de 1 (très bas) à 5 (très haut). Stress : 1 = serein, 5 = très tendu.</t>
        </is>
      </c>
    </row>
    <row r="8" ht="32" customHeight="1">
      <c r="B8" s="221">
        <f>COUNT($B$12:$B$131)</f>
        <v/>
      </c>
      <c r="C8" s="222">
        <f>IFERROR(AVERAGE(C$12:C$131),0)</f>
        <v/>
      </c>
      <c r="D8" s="222">
        <f>IFERROR(AVERAGE(D$12:D$131),0)</f>
        <v/>
      </c>
      <c r="E8" s="222">
        <f>IFERROR(AVERAGE(E$12:E$131),0)</f>
        <v/>
      </c>
      <c r="F8" s="222">
        <f>IFERROR(AVERAGE(F$12:F$131),0)</f>
        <v/>
      </c>
      <c r="G8" s="220" t="n"/>
    </row>
    <row r="10" ht="24" customHeight="1">
      <c r="B10" s="23" t="inlineStr">
        <is>
          <t>JOURNAL QUOTIDIEN</t>
        </is>
      </c>
      <c r="C10" s="24" t="n"/>
      <c r="D10" s="24" t="n"/>
      <c r="E10" s="24" t="n"/>
      <c r="F10" s="24" t="n"/>
      <c r="G10" s="24" t="n"/>
    </row>
    <row r="11" ht="30" customHeight="1">
      <c r="B11" s="83" t="inlineStr">
        <is>
          <t>Date</t>
        </is>
      </c>
      <c r="C11" s="83" t="inlineStr">
        <is>
          <t>Humeur (1-5)</t>
        </is>
      </c>
      <c r="D11" s="83" t="inlineStr">
        <is>
          <t>Énergie (1-5)</t>
        </is>
      </c>
      <c r="E11" s="83" t="inlineStr">
        <is>
          <t>Discipline (1-5)</t>
        </is>
      </c>
      <c r="F11" s="83" t="inlineStr">
        <is>
          <t>Stress (1-5)</t>
        </is>
      </c>
      <c r="G11" s="83" t="inlineStr">
        <is>
          <t>Note du jour</t>
        </is>
      </c>
    </row>
    <row r="12" ht="20" customHeight="1">
      <c r="B12" s="61" t="n">
        <v>46297</v>
      </c>
      <c r="C12" s="62" t="n">
        <v>3</v>
      </c>
      <c r="D12" s="62" t="n">
        <v>3</v>
      </c>
      <c r="E12" s="62" t="n">
        <v>5</v>
      </c>
      <c r="F12" s="62" t="n">
        <v>3</v>
      </c>
      <c r="G12" s="105" t="inlineStr">
        <is>
          <t>Revue hebdo faite.</t>
        </is>
      </c>
    </row>
    <row r="13" ht="20" customHeight="1">
      <c r="B13" s="61" t="n">
        <v>46298</v>
      </c>
      <c r="C13" s="62" t="n">
        <v>2</v>
      </c>
      <c r="D13" s="62" t="n">
        <v>2</v>
      </c>
      <c r="E13" s="62" t="n">
        <v>3</v>
      </c>
      <c r="F13" s="62" t="n">
        <v>4</v>
      </c>
      <c r="G13" s="105" t="inlineStr">
        <is>
          <t>Un peu pressé, j'ai attendu la confirmation.</t>
        </is>
      </c>
    </row>
    <row r="14" ht="20" customHeight="1">
      <c r="B14" s="61" t="n">
        <v>46299</v>
      </c>
      <c r="C14" s="62" t="n">
        <v>3</v>
      </c>
      <c r="D14" s="62" t="n">
        <v>5</v>
      </c>
      <c r="E14" s="62" t="n">
        <v>3</v>
      </c>
      <c r="F14" s="62" t="n">
        <v>4</v>
      </c>
      <c r="G14" s="105" t="inlineStr"/>
    </row>
    <row r="15" ht="20" customHeight="1">
      <c r="B15" s="61" t="n">
        <v>46300</v>
      </c>
      <c r="C15" s="62" t="n">
        <v>3</v>
      </c>
      <c r="D15" s="62" t="n">
        <v>3</v>
      </c>
      <c r="E15" s="62" t="n">
        <v>5</v>
      </c>
      <c r="F15" s="62" t="n">
        <v>2</v>
      </c>
      <c r="G15" s="105" t="inlineStr">
        <is>
          <t>Stress lié à une position ouverte.</t>
        </is>
      </c>
    </row>
    <row r="16" ht="20" customHeight="1">
      <c r="B16" s="61" t="n">
        <v>46301</v>
      </c>
      <c r="C16" s="62" t="n">
        <v>5</v>
      </c>
      <c r="D16" s="62" t="n">
        <v>2</v>
      </c>
      <c r="E16" s="62" t="n">
        <v>4</v>
      </c>
      <c r="F16" s="62" t="n">
        <v>1</v>
      </c>
      <c r="G16" s="105" t="inlineStr">
        <is>
          <t>Stress lié à une position ouverte.</t>
        </is>
      </c>
    </row>
    <row r="17" ht="20" customHeight="1">
      <c r="B17" s="61" t="n">
        <v>46302</v>
      </c>
      <c r="C17" s="62" t="n">
        <v>2</v>
      </c>
      <c r="D17" s="62" t="n">
        <v>4</v>
      </c>
      <c r="E17" s="62" t="n">
        <v>5</v>
      </c>
      <c r="F17" s="62" t="n">
        <v>1</v>
      </c>
      <c r="G17" s="105" t="inlineStr">
        <is>
          <t>Fatigué : aucun trade pris.</t>
        </is>
      </c>
    </row>
    <row r="18" ht="20" customHeight="1">
      <c r="B18" s="61" t="n">
        <v>46303</v>
      </c>
      <c r="C18" s="62" t="n">
        <v>5</v>
      </c>
      <c r="D18" s="62" t="n">
        <v>5</v>
      </c>
      <c r="E18" s="62" t="n">
        <v>3</v>
      </c>
      <c r="F18" s="62" t="n">
        <v>4</v>
      </c>
      <c r="G18" s="105" t="inlineStr"/>
    </row>
    <row r="19" ht="20" customHeight="1">
      <c r="B19" s="61" t="n">
        <v>46304</v>
      </c>
      <c r="C19" s="62" t="n">
        <v>5</v>
      </c>
      <c r="D19" s="62" t="n">
        <v>3</v>
      </c>
      <c r="E19" s="62" t="n">
        <v>3</v>
      </c>
      <c r="F19" s="62" t="n">
        <v>3</v>
      </c>
      <c r="G19" s="105" t="inlineStr">
        <is>
          <t>Un peu pressé, j'ai attendu la confirmation.</t>
        </is>
      </c>
    </row>
    <row r="20" ht="20" customHeight="1">
      <c r="B20" s="61" t="n">
        <v>46305</v>
      </c>
      <c r="C20" s="62" t="n">
        <v>5</v>
      </c>
      <c r="D20" s="62" t="n">
        <v>3</v>
      </c>
      <c r="E20" s="62" t="n">
        <v>5</v>
      </c>
      <c r="F20" s="62" t="n">
        <v>3</v>
      </c>
      <c r="G20" s="105" t="inlineStr">
        <is>
          <t>Revue hebdo faite.</t>
        </is>
      </c>
    </row>
    <row r="21" ht="20" customHeight="1">
      <c r="B21" s="61" t="n">
        <v>46306</v>
      </c>
      <c r="C21" s="62" t="n">
        <v>4</v>
      </c>
      <c r="D21" s="62" t="n">
        <v>5</v>
      </c>
      <c r="E21" s="62" t="n">
        <v>4</v>
      </c>
      <c r="F21" s="62" t="n">
        <v>4</v>
      </c>
      <c r="G21" s="105" t="inlineStr">
        <is>
          <t>Stress lié à une position ouverte.</t>
        </is>
      </c>
    </row>
    <row r="22" ht="20" customHeight="1">
      <c r="B22" s="61" t="n">
        <v>46307</v>
      </c>
      <c r="C22" s="62" t="n">
        <v>5</v>
      </c>
      <c r="D22" s="62" t="n">
        <v>3</v>
      </c>
      <c r="E22" s="62" t="n">
        <v>4</v>
      </c>
      <c r="F22" s="62" t="n">
        <v>3</v>
      </c>
      <c r="G22" s="105" t="inlineStr">
        <is>
          <t>Journée calme, plan respecté.</t>
        </is>
      </c>
    </row>
    <row r="23" ht="24" customHeight="1">
      <c r="B23" s="61" t="n">
        <v>46308</v>
      </c>
      <c r="C23" s="62" t="n">
        <v>4</v>
      </c>
      <c r="D23" s="62" t="n">
        <v>3</v>
      </c>
      <c r="E23" s="62" t="n">
        <v>5</v>
      </c>
      <c r="F23" s="62" t="n">
        <v>3</v>
      </c>
      <c r="G23" s="105" t="inlineStr">
        <is>
          <t>Stress lié à une position ouverte.</t>
        </is>
      </c>
      <c r="I23" s="23" t="inlineStr">
        <is>
          <t>COMMENT L'UTILISER</t>
        </is>
      </c>
      <c r="J23" s="24" t="n"/>
      <c r="K23" s="24" t="n"/>
      <c r="L23" s="24" t="n"/>
      <c r="M23" s="24" t="n"/>
      <c r="N23" s="24" t="n"/>
      <c r="O23" s="24" t="n"/>
      <c r="P23" s="24" t="n"/>
    </row>
    <row r="24" ht="20" customHeight="1">
      <c r="B24" s="61" t="n">
        <v>46309</v>
      </c>
      <c r="C24" s="62" t="n">
        <v>2</v>
      </c>
      <c r="D24" s="62" t="n">
        <v>3</v>
      </c>
      <c r="E24" s="62" t="n">
        <v>4</v>
      </c>
      <c r="F24" s="62" t="n">
        <v>3</v>
      </c>
      <c r="G24" s="105" t="inlineStr">
        <is>
          <t>Journée calme, plan respecté.</t>
        </is>
      </c>
      <c r="I24" s="37" t="inlineStr">
        <is>
          <t>1.  Si ta discipline baisse quand ton stress monte, réduis la taille ou ne trade pas ces jours-là.</t>
        </is>
      </c>
      <c r="J24" s="37" t="n"/>
      <c r="K24" s="37" t="n"/>
      <c r="L24" s="37" t="n"/>
      <c r="M24" s="37" t="n"/>
      <c r="N24" s="37" t="n"/>
      <c r="O24" s="37" t="n"/>
      <c r="P24" s="37" t="n"/>
    </row>
    <row r="25" ht="20" customHeight="1">
      <c r="B25" s="61" t="n">
        <v>46310</v>
      </c>
      <c r="C25" s="62" t="n">
        <v>5</v>
      </c>
      <c r="D25" s="62" t="n">
        <v>5</v>
      </c>
      <c r="E25" s="62" t="n">
        <v>4</v>
      </c>
      <c r="F25" s="62" t="n">
        <v>1</v>
      </c>
      <c r="G25" s="105" t="inlineStr">
        <is>
          <t>Journée calme, plan respecté.</t>
        </is>
      </c>
      <c r="I25" s="37" t="n"/>
      <c r="J25" s="37" t="n"/>
      <c r="K25" s="37" t="n"/>
      <c r="L25" s="37" t="n"/>
      <c r="M25" s="37" t="n"/>
      <c r="N25" s="37" t="n"/>
      <c r="O25" s="37" t="n"/>
      <c r="P25" s="37" t="n"/>
    </row>
    <row r="26" ht="20" customHeight="1">
      <c r="B26" s="61" t="n">
        <v>46311</v>
      </c>
      <c r="C26" s="62" t="n">
        <v>5</v>
      </c>
      <c r="D26" s="62" t="n">
        <v>3</v>
      </c>
      <c r="E26" s="62" t="n">
        <v>4</v>
      </c>
      <c r="F26" s="62" t="n">
        <v>1</v>
      </c>
      <c r="G26" s="105" t="inlineStr"/>
      <c r="I26" s="37" t="inlineStr">
        <is>
          <t>2.  Compare avec l'onglet Analyse : repère les états émotionnels qui coûtent de l'argent.</t>
        </is>
      </c>
      <c r="J26" s="37" t="n"/>
      <c r="K26" s="37" t="n"/>
      <c r="L26" s="37" t="n"/>
      <c r="M26" s="37" t="n"/>
      <c r="N26" s="37" t="n"/>
      <c r="O26" s="37" t="n"/>
      <c r="P26" s="37" t="n"/>
    </row>
    <row r="27" ht="20" customHeight="1">
      <c r="B27" s="61" t="n">
        <v>46312</v>
      </c>
      <c r="C27" s="62" t="n">
        <v>5</v>
      </c>
      <c r="D27" s="62" t="n">
        <v>2</v>
      </c>
      <c r="E27" s="62" t="n">
        <v>5</v>
      </c>
      <c r="F27" s="62" t="n">
        <v>1</v>
      </c>
      <c r="G27" s="105" t="inlineStr"/>
      <c r="I27" s="37" t="n"/>
      <c r="J27" s="37" t="n"/>
      <c r="K27" s="37" t="n"/>
      <c r="L27" s="37" t="n"/>
      <c r="M27" s="37" t="n"/>
      <c r="N27" s="37" t="n"/>
      <c r="O27" s="37" t="n"/>
      <c r="P27" s="37" t="n"/>
    </row>
    <row r="28" ht="20" customHeight="1">
      <c r="B28" s="61" t="n">
        <v>46313</v>
      </c>
      <c r="C28" s="62" t="n">
        <v>2</v>
      </c>
      <c r="D28" s="62" t="n">
        <v>5</v>
      </c>
      <c r="E28" s="62" t="n">
        <v>4</v>
      </c>
      <c r="F28" s="62" t="n">
        <v>3</v>
      </c>
      <c r="G28" s="105" t="inlineStr">
        <is>
          <t>Fatigué : aucun trade pris.</t>
        </is>
      </c>
      <c r="I28" s="37" t="inlineStr">
        <is>
          <t>3.  Une humeur ou une énergie très haute peut aussi être un signal de prudence (excès de confiance).</t>
        </is>
      </c>
      <c r="J28" s="37" t="n"/>
      <c r="K28" s="37" t="n"/>
      <c r="L28" s="37" t="n"/>
      <c r="M28" s="37" t="n"/>
      <c r="N28" s="37" t="n"/>
      <c r="O28" s="37" t="n"/>
      <c r="P28" s="37" t="n"/>
    </row>
    <row r="29" ht="20" customHeight="1">
      <c r="B29" s="61" t="n">
        <v>46314</v>
      </c>
      <c r="C29" s="62" t="n">
        <v>3</v>
      </c>
      <c r="D29" s="62" t="n">
        <v>2</v>
      </c>
      <c r="E29" s="62" t="n">
        <v>3</v>
      </c>
      <c r="F29" s="62" t="n">
        <v>3</v>
      </c>
      <c r="G29" s="105" t="inlineStr">
        <is>
          <t>Journée calme, plan respecté.</t>
        </is>
      </c>
      <c r="I29" s="37" t="n"/>
      <c r="J29" s="37" t="n"/>
      <c r="K29" s="37" t="n"/>
      <c r="L29" s="37" t="n"/>
      <c r="M29" s="37" t="n"/>
      <c r="N29" s="37" t="n"/>
      <c r="O29" s="37" t="n"/>
      <c r="P29" s="37" t="n"/>
    </row>
    <row r="30" ht="20" customHeight="1">
      <c r="B30" s="61" t="n">
        <v>46315</v>
      </c>
      <c r="C30" s="62" t="n">
        <v>2</v>
      </c>
      <c r="D30" s="62" t="n">
        <v>3</v>
      </c>
      <c r="E30" s="62" t="n">
        <v>3</v>
      </c>
      <c r="F30" s="62" t="n">
        <v>4</v>
      </c>
      <c r="G30" s="105" t="inlineStr">
        <is>
          <t>Fatigué : aucun trade pris.</t>
        </is>
      </c>
    </row>
    <row r="31" ht="20" customHeight="1">
      <c r="B31" s="61" t="n">
        <v>46316</v>
      </c>
      <c r="C31" s="62" t="n">
        <v>3</v>
      </c>
      <c r="D31" s="62" t="n">
        <v>2</v>
      </c>
      <c r="E31" s="62" t="n">
        <v>4</v>
      </c>
      <c r="F31" s="62" t="n">
        <v>3</v>
      </c>
      <c r="G31" s="105" t="inlineStr">
        <is>
          <t>Un peu pressé, j'ai attendu la confirmation.</t>
        </is>
      </c>
    </row>
    <row r="32" ht="20" customHeight="1">
      <c r="B32" s="61" t="n">
        <v>46317</v>
      </c>
      <c r="C32" s="62" t="n">
        <v>5</v>
      </c>
      <c r="D32" s="62" t="n">
        <v>5</v>
      </c>
      <c r="E32" s="62" t="n">
        <v>4</v>
      </c>
      <c r="F32" s="62" t="n">
        <v>4</v>
      </c>
      <c r="G32" s="105" t="inlineStr">
        <is>
          <t>Revue hebdo faite.</t>
        </is>
      </c>
    </row>
    <row r="33" ht="20" customHeight="1">
      <c r="B33" s="61" t="n">
        <v>46318</v>
      </c>
      <c r="C33" s="62" t="n">
        <v>2</v>
      </c>
      <c r="D33" s="62" t="n">
        <v>4</v>
      </c>
      <c r="E33" s="62" t="n">
        <v>4</v>
      </c>
      <c r="F33" s="62" t="n">
        <v>4</v>
      </c>
      <c r="G33" s="105" t="inlineStr">
        <is>
          <t>Bonne discipline, pas de trade hors plan.</t>
        </is>
      </c>
    </row>
    <row r="34" ht="20" customHeight="1">
      <c r="B34" s="61" t="n">
        <v>46319</v>
      </c>
      <c r="C34" s="62" t="n">
        <v>3</v>
      </c>
      <c r="D34" s="62" t="n">
        <v>4</v>
      </c>
      <c r="E34" s="62" t="n">
        <v>4</v>
      </c>
      <c r="F34" s="62" t="n">
        <v>4</v>
      </c>
      <c r="G34" s="105" t="inlineStr">
        <is>
          <t>Stress lié à une position ouverte.</t>
        </is>
      </c>
    </row>
    <row r="35" ht="20" customHeight="1">
      <c r="B35" s="61" t="n">
        <v>46320</v>
      </c>
      <c r="C35" s="62" t="n">
        <v>4</v>
      </c>
      <c r="D35" s="62" t="n">
        <v>4</v>
      </c>
      <c r="E35" s="62" t="n">
        <v>5</v>
      </c>
      <c r="F35" s="62" t="n">
        <v>1</v>
      </c>
      <c r="G35" s="105" t="inlineStr">
        <is>
          <t>Stress lié à une position ouverte.</t>
        </is>
      </c>
    </row>
    <row r="36" ht="20" customHeight="1">
      <c r="B36" s="61" t="n">
        <v>46321</v>
      </c>
      <c r="C36" s="62" t="n">
        <v>4</v>
      </c>
      <c r="D36" s="62" t="n">
        <v>2</v>
      </c>
      <c r="E36" s="62" t="n">
        <v>4</v>
      </c>
      <c r="F36" s="62" t="n">
        <v>4</v>
      </c>
      <c r="G36" s="105" t="inlineStr">
        <is>
          <t>Bonne discipline, pas de trade hors plan.</t>
        </is>
      </c>
    </row>
    <row r="37" ht="20" customHeight="1">
      <c r="B37" s="61" t="n">
        <v>46322</v>
      </c>
      <c r="C37" s="62" t="n">
        <v>3</v>
      </c>
      <c r="D37" s="62" t="n">
        <v>2</v>
      </c>
      <c r="E37" s="62" t="n">
        <v>4</v>
      </c>
      <c r="F37" s="62" t="n">
        <v>3</v>
      </c>
      <c r="G37" s="105" t="inlineStr">
        <is>
          <t>Bonne discipline, pas de trade hors plan.</t>
        </is>
      </c>
    </row>
    <row r="38" ht="20" customHeight="1">
      <c r="B38" s="61" t="n"/>
      <c r="C38" s="62" t="n"/>
      <c r="D38" s="62" t="n"/>
      <c r="E38" s="62" t="n"/>
      <c r="F38" s="62" t="n"/>
      <c r="G38" s="105" t="n"/>
    </row>
    <row r="39" ht="20" customHeight="1">
      <c r="B39" s="61" t="n"/>
      <c r="C39" s="62" t="n"/>
      <c r="D39" s="62" t="n"/>
      <c r="E39" s="62" t="n"/>
      <c r="F39" s="62" t="n"/>
      <c r="G39" s="105" t="n"/>
    </row>
    <row r="40" ht="20" customHeight="1">
      <c r="B40" s="61" t="n"/>
      <c r="C40" s="62" t="n"/>
      <c r="D40" s="62" t="n"/>
      <c r="E40" s="62" t="n"/>
      <c r="F40" s="62" t="n"/>
      <c r="G40" s="105" t="n"/>
    </row>
    <row r="41" ht="20" customHeight="1">
      <c r="B41" s="61" t="n"/>
      <c r="C41" s="62" t="n"/>
      <c r="D41" s="62" t="n"/>
      <c r="E41" s="62" t="n"/>
      <c r="F41" s="62" t="n"/>
      <c r="G41" s="105" t="n"/>
    </row>
    <row r="42" ht="20" customHeight="1">
      <c r="B42" s="61" t="n"/>
      <c r="C42" s="62" t="n"/>
      <c r="D42" s="62" t="n"/>
      <c r="E42" s="62" t="n"/>
      <c r="F42" s="62" t="n"/>
      <c r="G42" s="105" t="n"/>
    </row>
    <row r="43" ht="20" customHeight="1">
      <c r="B43" s="61" t="n"/>
      <c r="C43" s="62" t="n"/>
      <c r="D43" s="62" t="n"/>
      <c r="E43" s="62" t="n"/>
      <c r="F43" s="62" t="n"/>
      <c r="G43" s="105" t="n"/>
    </row>
    <row r="44" ht="20" customHeight="1">
      <c r="B44" s="61" t="n"/>
      <c r="C44" s="62" t="n"/>
      <c r="D44" s="62" t="n"/>
      <c r="E44" s="62" t="n"/>
      <c r="F44" s="62" t="n"/>
      <c r="G44" s="105" t="n"/>
    </row>
    <row r="45" ht="20" customHeight="1">
      <c r="B45" s="61" t="n"/>
      <c r="C45" s="62" t="n"/>
      <c r="D45" s="62" t="n"/>
      <c r="E45" s="62" t="n"/>
      <c r="F45" s="62" t="n"/>
      <c r="G45" s="105" t="n"/>
    </row>
    <row r="46" ht="20" customHeight="1">
      <c r="B46" s="61" t="n"/>
      <c r="C46" s="62" t="n"/>
      <c r="D46" s="62" t="n"/>
      <c r="E46" s="62" t="n"/>
      <c r="F46" s="62" t="n"/>
      <c r="G46" s="105" t="n"/>
    </row>
    <row r="47" ht="20" customHeight="1">
      <c r="B47" s="61" t="n"/>
      <c r="C47" s="62" t="n"/>
      <c r="D47" s="62" t="n"/>
      <c r="E47" s="62" t="n"/>
      <c r="F47" s="62" t="n"/>
      <c r="G47" s="105" t="n"/>
    </row>
    <row r="48" ht="20" customHeight="1">
      <c r="B48" s="61" t="n"/>
      <c r="C48" s="62" t="n"/>
      <c r="D48" s="62" t="n"/>
      <c r="E48" s="62" t="n"/>
      <c r="F48" s="62" t="n"/>
      <c r="G48" s="105" t="n"/>
    </row>
    <row r="49" ht="20" customHeight="1">
      <c r="B49" s="61" t="n"/>
      <c r="C49" s="62" t="n"/>
      <c r="D49" s="62" t="n"/>
      <c r="E49" s="62" t="n"/>
      <c r="F49" s="62" t="n"/>
      <c r="G49" s="105" t="n"/>
    </row>
    <row r="50" ht="20" customHeight="1">
      <c r="B50" s="61" t="n"/>
      <c r="C50" s="62" t="n"/>
      <c r="D50" s="62" t="n"/>
      <c r="E50" s="62" t="n"/>
      <c r="F50" s="62" t="n"/>
      <c r="G50" s="105" t="n"/>
    </row>
    <row r="51" ht="20" customHeight="1">
      <c r="B51" s="61" t="n"/>
      <c r="C51" s="62" t="n"/>
      <c r="D51" s="62" t="n"/>
      <c r="E51" s="62" t="n"/>
      <c r="F51" s="62" t="n"/>
      <c r="G51" s="105" t="n"/>
    </row>
    <row r="52" ht="20" customHeight="1">
      <c r="B52" s="61" t="n"/>
      <c r="C52" s="62" t="n"/>
      <c r="D52" s="62" t="n"/>
      <c r="E52" s="62" t="n"/>
      <c r="F52" s="62" t="n"/>
      <c r="G52" s="105" t="n"/>
    </row>
    <row r="53" ht="20" customHeight="1">
      <c r="B53" s="61" t="n"/>
      <c r="C53" s="62" t="n"/>
      <c r="D53" s="62" t="n"/>
      <c r="E53" s="62" t="n"/>
      <c r="F53" s="62" t="n"/>
      <c r="G53" s="105" t="n"/>
    </row>
    <row r="54" ht="20" customHeight="1">
      <c r="B54" s="61" t="n"/>
      <c r="C54" s="62" t="n"/>
      <c r="D54" s="62" t="n"/>
      <c r="E54" s="62" t="n"/>
      <c r="F54" s="62" t="n"/>
      <c r="G54" s="105" t="n"/>
    </row>
    <row r="55" ht="20" customHeight="1">
      <c r="B55" s="61" t="n"/>
      <c r="C55" s="62" t="n"/>
      <c r="D55" s="62" t="n"/>
      <c r="E55" s="62" t="n"/>
      <c r="F55" s="62" t="n"/>
      <c r="G55" s="105" t="n"/>
    </row>
    <row r="56" ht="20" customHeight="1">
      <c r="B56" s="61" t="n"/>
      <c r="C56" s="62" t="n"/>
      <c r="D56" s="62" t="n"/>
      <c r="E56" s="62" t="n"/>
      <c r="F56" s="62" t="n"/>
      <c r="G56" s="105" t="n"/>
    </row>
    <row r="57" ht="20" customHeight="1">
      <c r="B57" s="61" t="n"/>
      <c r="C57" s="62" t="n"/>
      <c r="D57" s="62" t="n"/>
      <c r="E57" s="62" t="n"/>
      <c r="F57" s="62" t="n"/>
      <c r="G57" s="105" t="n"/>
    </row>
    <row r="58" ht="20" customHeight="1">
      <c r="B58" s="61" t="n"/>
      <c r="C58" s="62" t="n"/>
      <c r="D58" s="62" t="n"/>
      <c r="E58" s="62" t="n"/>
      <c r="F58" s="62" t="n"/>
      <c r="G58" s="105" t="n"/>
    </row>
    <row r="59" ht="20" customHeight="1">
      <c r="B59" s="61" t="n"/>
      <c r="C59" s="62" t="n"/>
      <c r="D59" s="62" t="n"/>
      <c r="E59" s="62" t="n"/>
      <c r="F59" s="62" t="n"/>
      <c r="G59" s="105" t="n"/>
    </row>
    <row r="60" ht="20" customHeight="1">
      <c r="B60" s="61" t="n"/>
      <c r="C60" s="62" t="n"/>
      <c r="D60" s="62" t="n"/>
      <c r="E60" s="62" t="n"/>
      <c r="F60" s="62" t="n"/>
      <c r="G60" s="105" t="n"/>
    </row>
    <row r="61" ht="20" customHeight="1">
      <c r="B61" s="61" t="n"/>
      <c r="C61" s="62" t="n"/>
      <c r="D61" s="62" t="n"/>
      <c r="E61" s="62" t="n"/>
      <c r="F61" s="62" t="n"/>
      <c r="G61" s="105" t="n"/>
    </row>
    <row r="62" ht="20" customHeight="1">
      <c r="B62" s="61" t="n"/>
      <c r="C62" s="62" t="n"/>
      <c r="D62" s="62" t="n"/>
      <c r="E62" s="62" t="n"/>
      <c r="F62" s="62" t="n"/>
      <c r="G62" s="105" t="n"/>
    </row>
    <row r="63" ht="20" customHeight="1">
      <c r="B63" s="61" t="n"/>
      <c r="C63" s="62" t="n"/>
      <c r="D63" s="62" t="n"/>
      <c r="E63" s="62" t="n"/>
      <c r="F63" s="62" t="n"/>
      <c r="G63" s="105" t="n"/>
    </row>
    <row r="64" ht="20" customHeight="1">
      <c r="B64" s="61" t="n"/>
      <c r="C64" s="62" t="n"/>
      <c r="D64" s="62" t="n"/>
      <c r="E64" s="62" t="n"/>
      <c r="F64" s="62" t="n"/>
      <c r="G64" s="105" t="n"/>
    </row>
    <row r="65" ht="20" customHeight="1">
      <c r="B65" s="61" t="n"/>
      <c r="C65" s="62" t="n"/>
      <c r="D65" s="62" t="n"/>
      <c r="E65" s="62" t="n"/>
      <c r="F65" s="62" t="n"/>
      <c r="G65" s="105" t="n"/>
    </row>
    <row r="66" ht="20" customHeight="1">
      <c r="B66" s="61" t="n"/>
      <c r="C66" s="62" t="n"/>
      <c r="D66" s="62" t="n"/>
      <c r="E66" s="62" t="n"/>
      <c r="F66" s="62" t="n"/>
      <c r="G66" s="105" t="n"/>
    </row>
    <row r="67" ht="20" customHeight="1">
      <c r="B67" s="61" t="n"/>
      <c r="C67" s="62" t="n"/>
      <c r="D67" s="62" t="n"/>
      <c r="E67" s="62" t="n"/>
      <c r="F67" s="62" t="n"/>
      <c r="G67" s="105" t="n"/>
    </row>
    <row r="68" ht="20" customHeight="1">
      <c r="B68" s="61" t="n"/>
      <c r="C68" s="62" t="n"/>
      <c r="D68" s="62" t="n"/>
      <c r="E68" s="62" t="n"/>
      <c r="F68" s="62" t="n"/>
      <c r="G68" s="105" t="n"/>
    </row>
    <row r="69" ht="20" customHeight="1">
      <c r="B69" s="61" t="n"/>
      <c r="C69" s="62" t="n"/>
      <c r="D69" s="62" t="n"/>
      <c r="E69" s="62" t="n"/>
      <c r="F69" s="62" t="n"/>
      <c r="G69" s="105" t="n"/>
    </row>
    <row r="70" ht="20" customHeight="1">
      <c r="B70" s="61" t="n"/>
      <c r="C70" s="62" t="n"/>
      <c r="D70" s="62" t="n"/>
      <c r="E70" s="62" t="n"/>
      <c r="F70" s="62" t="n"/>
      <c r="G70" s="105" t="n"/>
    </row>
    <row r="71" ht="20" customHeight="1">
      <c r="B71" s="61" t="n"/>
      <c r="C71" s="62" t="n"/>
      <c r="D71" s="62" t="n"/>
      <c r="E71" s="62" t="n"/>
      <c r="F71" s="62" t="n"/>
      <c r="G71" s="105" t="n"/>
    </row>
    <row r="72" ht="20" customHeight="1">
      <c r="B72" s="61" t="n"/>
      <c r="C72" s="62" t="n"/>
      <c r="D72" s="62" t="n"/>
      <c r="E72" s="62" t="n"/>
      <c r="F72" s="62" t="n"/>
      <c r="G72" s="105" t="n"/>
    </row>
    <row r="73" ht="20" customHeight="1">
      <c r="B73" s="61" t="n"/>
      <c r="C73" s="62" t="n"/>
      <c r="D73" s="62" t="n"/>
      <c r="E73" s="62" t="n"/>
      <c r="F73" s="62" t="n"/>
      <c r="G73" s="105" t="n"/>
    </row>
    <row r="74" ht="20" customHeight="1">
      <c r="B74" s="61" t="n"/>
      <c r="C74" s="62" t="n"/>
      <c r="D74" s="62" t="n"/>
      <c r="E74" s="62" t="n"/>
      <c r="F74" s="62" t="n"/>
      <c r="G74" s="105" t="n"/>
    </row>
    <row r="75" ht="20" customHeight="1">
      <c r="B75" s="61" t="n"/>
      <c r="C75" s="62" t="n"/>
      <c r="D75" s="62" t="n"/>
      <c r="E75" s="62" t="n"/>
      <c r="F75" s="62" t="n"/>
      <c r="G75" s="105" t="n"/>
    </row>
    <row r="76" ht="20" customHeight="1">
      <c r="B76" s="61" t="n"/>
      <c r="C76" s="62" t="n"/>
      <c r="D76" s="62" t="n"/>
      <c r="E76" s="62" t="n"/>
      <c r="F76" s="62" t="n"/>
      <c r="G76" s="105" t="n"/>
    </row>
    <row r="77" ht="20" customHeight="1">
      <c r="B77" s="61" t="n"/>
      <c r="C77" s="62" t="n"/>
      <c r="D77" s="62" t="n"/>
      <c r="E77" s="62" t="n"/>
      <c r="F77" s="62" t="n"/>
      <c r="G77" s="105" t="n"/>
    </row>
    <row r="78" ht="20" customHeight="1">
      <c r="B78" s="61" t="n"/>
      <c r="C78" s="62" t="n"/>
      <c r="D78" s="62" t="n"/>
      <c r="E78" s="62" t="n"/>
      <c r="F78" s="62" t="n"/>
      <c r="G78" s="105" t="n"/>
    </row>
    <row r="79" ht="20" customHeight="1">
      <c r="B79" s="61" t="n"/>
      <c r="C79" s="62" t="n"/>
      <c r="D79" s="62" t="n"/>
      <c r="E79" s="62" t="n"/>
      <c r="F79" s="62" t="n"/>
      <c r="G79" s="105" t="n"/>
    </row>
    <row r="80" ht="20" customHeight="1">
      <c r="B80" s="61" t="n"/>
      <c r="C80" s="62" t="n"/>
      <c r="D80" s="62" t="n"/>
      <c r="E80" s="62" t="n"/>
      <c r="F80" s="62" t="n"/>
      <c r="G80" s="105" t="n"/>
    </row>
    <row r="81" ht="20" customHeight="1">
      <c r="B81" s="61" t="n"/>
      <c r="C81" s="62" t="n"/>
      <c r="D81" s="62" t="n"/>
      <c r="E81" s="62" t="n"/>
      <c r="F81" s="62" t="n"/>
      <c r="G81" s="105" t="n"/>
    </row>
    <row r="82" ht="20" customHeight="1">
      <c r="B82" s="61" t="n"/>
      <c r="C82" s="62" t="n"/>
      <c r="D82" s="62" t="n"/>
      <c r="E82" s="62" t="n"/>
      <c r="F82" s="62" t="n"/>
      <c r="G82" s="105" t="n"/>
    </row>
    <row r="83" ht="20" customHeight="1">
      <c r="B83" s="61" t="n"/>
      <c r="C83" s="62" t="n"/>
      <c r="D83" s="62" t="n"/>
      <c r="E83" s="62" t="n"/>
      <c r="F83" s="62" t="n"/>
      <c r="G83" s="105" t="n"/>
    </row>
    <row r="84" ht="20" customHeight="1">
      <c r="B84" s="61" t="n"/>
      <c r="C84" s="62" t="n"/>
      <c r="D84" s="62" t="n"/>
      <c r="E84" s="62" t="n"/>
      <c r="F84" s="62" t="n"/>
      <c r="G84" s="105" t="n"/>
    </row>
    <row r="85" ht="20" customHeight="1">
      <c r="B85" s="61" t="n"/>
      <c r="C85" s="62" t="n"/>
      <c r="D85" s="62" t="n"/>
      <c r="E85" s="62" t="n"/>
      <c r="F85" s="62" t="n"/>
      <c r="G85" s="105" t="n"/>
    </row>
    <row r="86" ht="20" customHeight="1">
      <c r="B86" s="61" t="n"/>
      <c r="C86" s="62" t="n"/>
      <c r="D86" s="62" t="n"/>
      <c r="E86" s="62" t="n"/>
      <c r="F86" s="62" t="n"/>
      <c r="G86" s="105" t="n"/>
    </row>
    <row r="87" ht="20" customHeight="1">
      <c r="B87" s="61" t="n"/>
      <c r="C87" s="62" t="n"/>
      <c r="D87" s="62" t="n"/>
      <c r="E87" s="62" t="n"/>
      <c r="F87" s="62" t="n"/>
      <c r="G87" s="105" t="n"/>
    </row>
    <row r="88" ht="20" customHeight="1">
      <c r="B88" s="61" t="n"/>
      <c r="C88" s="62" t="n"/>
      <c r="D88" s="62" t="n"/>
      <c r="E88" s="62" t="n"/>
      <c r="F88" s="62" t="n"/>
      <c r="G88" s="105" t="n"/>
    </row>
    <row r="89" ht="20" customHeight="1">
      <c r="B89" s="61" t="n"/>
      <c r="C89" s="62" t="n"/>
      <c r="D89" s="62" t="n"/>
      <c r="E89" s="62" t="n"/>
      <c r="F89" s="62" t="n"/>
      <c r="G89" s="105" t="n"/>
    </row>
    <row r="90" ht="20" customHeight="1">
      <c r="B90" s="61" t="n"/>
      <c r="C90" s="62" t="n"/>
      <c r="D90" s="62" t="n"/>
      <c r="E90" s="62" t="n"/>
      <c r="F90" s="62" t="n"/>
      <c r="G90" s="105" t="n"/>
    </row>
    <row r="91" ht="20" customHeight="1">
      <c r="B91" s="61" t="n"/>
      <c r="C91" s="62" t="n"/>
      <c r="D91" s="62" t="n"/>
      <c r="E91" s="62" t="n"/>
      <c r="F91" s="62" t="n"/>
      <c r="G91" s="105" t="n"/>
    </row>
    <row r="92" ht="20" customHeight="1">
      <c r="B92" s="61" t="n"/>
      <c r="C92" s="62" t="n"/>
      <c r="D92" s="62" t="n"/>
      <c r="E92" s="62" t="n"/>
      <c r="F92" s="62" t="n"/>
      <c r="G92" s="105" t="n"/>
    </row>
    <row r="93" ht="20" customHeight="1">
      <c r="B93" s="61" t="n"/>
      <c r="C93" s="62" t="n"/>
      <c r="D93" s="62" t="n"/>
      <c r="E93" s="62" t="n"/>
      <c r="F93" s="62" t="n"/>
      <c r="G93" s="105" t="n"/>
    </row>
    <row r="94" ht="20" customHeight="1">
      <c r="B94" s="61" t="n"/>
      <c r="C94" s="62" t="n"/>
      <c r="D94" s="62" t="n"/>
      <c r="E94" s="62" t="n"/>
      <c r="F94" s="62" t="n"/>
      <c r="G94" s="105" t="n"/>
    </row>
    <row r="95" ht="20" customHeight="1">
      <c r="B95" s="61" t="n"/>
      <c r="C95" s="62" t="n"/>
      <c r="D95" s="62" t="n"/>
      <c r="E95" s="62" t="n"/>
      <c r="F95" s="62" t="n"/>
      <c r="G95" s="105" t="n"/>
    </row>
    <row r="96" ht="20" customHeight="1">
      <c r="B96" s="61" t="n"/>
      <c r="C96" s="62" t="n"/>
      <c r="D96" s="62" t="n"/>
      <c r="E96" s="62" t="n"/>
      <c r="F96" s="62" t="n"/>
      <c r="G96" s="105" t="n"/>
    </row>
    <row r="97" ht="20" customHeight="1">
      <c r="B97" s="61" t="n"/>
      <c r="C97" s="62" t="n"/>
      <c r="D97" s="62" t="n"/>
      <c r="E97" s="62" t="n"/>
      <c r="F97" s="62" t="n"/>
      <c r="G97" s="105" t="n"/>
    </row>
    <row r="98" ht="20" customHeight="1">
      <c r="B98" s="61" t="n"/>
      <c r="C98" s="62" t="n"/>
      <c r="D98" s="62" t="n"/>
      <c r="E98" s="62" t="n"/>
      <c r="F98" s="62" t="n"/>
      <c r="G98" s="105" t="n"/>
    </row>
    <row r="99" ht="20" customHeight="1">
      <c r="B99" s="61" t="n"/>
      <c r="C99" s="62" t="n"/>
      <c r="D99" s="62" t="n"/>
      <c r="E99" s="62" t="n"/>
      <c r="F99" s="62" t="n"/>
      <c r="G99" s="105" t="n"/>
    </row>
    <row r="100" ht="20" customHeight="1">
      <c r="B100" s="61" t="n"/>
      <c r="C100" s="62" t="n"/>
      <c r="D100" s="62" t="n"/>
      <c r="E100" s="62" t="n"/>
      <c r="F100" s="62" t="n"/>
      <c r="G100" s="105" t="n"/>
    </row>
    <row r="101" ht="20" customHeight="1">
      <c r="B101" s="61" t="n"/>
      <c r="C101" s="62" t="n"/>
      <c r="D101" s="62" t="n"/>
      <c r="E101" s="62" t="n"/>
      <c r="F101" s="62" t="n"/>
      <c r="G101" s="105" t="n"/>
    </row>
    <row r="102" ht="20" customHeight="1">
      <c r="B102" s="61" t="n"/>
      <c r="C102" s="62" t="n"/>
      <c r="D102" s="62" t="n"/>
      <c r="E102" s="62" t="n"/>
      <c r="F102" s="62" t="n"/>
      <c r="G102" s="105" t="n"/>
    </row>
    <row r="103" ht="20" customHeight="1">
      <c r="B103" s="61" t="n"/>
      <c r="C103" s="62" t="n"/>
      <c r="D103" s="62" t="n"/>
      <c r="E103" s="62" t="n"/>
      <c r="F103" s="62" t="n"/>
      <c r="G103" s="105" t="n"/>
    </row>
    <row r="104" ht="20" customHeight="1">
      <c r="B104" s="61" t="n"/>
      <c r="C104" s="62" t="n"/>
      <c r="D104" s="62" t="n"/>
      <c r="E104" s="62" t="n"/>
      <c r="F104" s="62" t="n"/>
      <c r="G104" s="105" t="n"/>
    </row>
    <row r="105" ht="20" customHeight="1">
      <c r="B105" s="61" t="n"/>
      <c r="C105" s="62" t="n"/>
      <c r="D105" s="62" t="n"/>
      <c r="E105" s="62" t="n"/>
      <c r="F105" s="62" t="n"/>
      <c r="G105" s="105" t="n"/>
    </row>
    <row r="106" ht="20" customHeight="1">
      <c r="B106" s="61" t="n"/>
      <c r="C106" s="62" t="n"/>
      <c r="D106" s="62" t="n"/>
      <c r="E106" s="62" t="n"/>
      <c r="F106" s="62" t="n"/>
      <c r="G106" s="105" t="n"/>
    </row>
    <row r="107" ht="20" customHeight="1">
      <c r="B107" s="61" t="n"/>
      <c r="C107" s="62" t="n"/>
      <c r="D107" s="62" t="n"/>
      <c r="E107" s="62" t="n"/>
      <c r="F107" s="62" t="n"/>
      <c r="G107" s="105" t="n"/>
    </row>
    <row r="108" ht="20" customHeight="1">
      <c r="B108" s="61" t="n"/>
      <c r="C108" s="62" t="n"/>
      <c r="D108" s="62" t="n"/>
      <c r="E108" s="62" t="n"/>
      <c r="F108" s="62" t="n"/>
      <c r="G108" s="105" t="n"/>
    </row>
    <row r="109" ht="20" customHeight="1">
      <c r="B109" s="61" t="n"/>
      <c r="C109" s="62" t="n"/>
      <c r="D109" s="62" t="n"/>
      <c r="E109" s="62" t="n"/>
      <c r="F109" s="62" t="n"/>
      <c r="G109" s="105" t="n"/>
    </row>
    <row r="110" ht="20" customHeight="1">
      <c r="B110" s="61" t="n"/>
      <c r="C110" s="62" t="n"/>
      <c r="D110" s="62" t="n"/>
      <c r="E110" s="62" t="n"/>
      <c r="F110" s="62" t="n"/>
      <c r="G110" s="105" t="n"/>
    </row>
    <row r="111" ht="20" customHeight="1">
      <c r="B111" s="61" t="n"/>
      <c r="C111" s="62" t="n"/>
      <c r="D111" s="62" t="n"/>
      <c r="E111" s="62" t="n"/>
      <c r="F111" s="62" t="n"/>
      <c r="G111" s="105" t="n"/>
    </row>
    <row r="112" ht="20" customHeight="1">
      <c r="B112" s="61" t="n"/>
      <c r="C112" s="62" t="n"/>
      <c r="D112" s="62" t="n"/>
      <c r="E112" s="62" t="n"/>
      <c r="F112" s="62" t="n"/>
      <c r="G112" s="105" t="n"/>
    </row>
    <row r="113" ht="20" customHeight="1">
      <c r="B113" s="61" t="n"/>
      <c r="C113" s="62" t="n"/>
      <c r="D113" s="62" t="n"/>
      <c r="E113" s="62" t="n"/>
      <c r="F113" s="62" t="n"/>
      <c r="G113" s="105" t="n"/>
    </row>
    <row r="114" ht="20" customHeight="1">
      <c r="B114" s="61" t="n"/>
      <c r="C114" s="62" t="n"/>
      <c r="D114" s="62" t="n"/>
      <c r="E114" s="62" t="n"/>
      <c r="F114" s="62" t="n"/>
      <c r="G114" s="105" t="n"/>
    </row>
    <row r="115" ht="20" customHeight="1">
      <c r="B115" s="61" t="n"/>
      <c r="C115" s="62" t="n"/>
      <c r="D115" s="62" t="n"/>
      <c r="E115" s="62" t="n"/>
      <c r="F115" s="62" t="n"/>
      <c r="G115" s="105" t="n"/>
    </row>
    <row r="116" ht="20" customHeight="1">
      <c r="B116" s="61" t="n"/>
      <c r="C116" s="62" t="n"/>
      <c r="D116" s="62" t="n"/>
      <c r="E116" s="62" t="n"/>
      <c r="F116" s="62" t="n"/>
      <c r="G116" s="105" t="n"/>
    </row>
    <row r="117" ht="20" customHeight="1">
      <c r="B117" s="61" t="n"/>
      <c r="C117" s="62" t="n"/>
      <c r="D117" s="62" t="n"/>
      <c r="E117" s="62" t="n"/>
      <c r="F117" s="62" t="n"/>
      <c r="G117" s="105" t="n"/>
    </row>
    <row r="118" ht="20" customHeight="1">
      <c r="B118" s="61" t="n"/>
      <c r="C118" s="62" t="n"/>
      <c r="D118" s="62" t="n"/>
      <c r="E118" s="62" t="n"/>
      <c r="F118" s="62" t="n"/>
      <c r="G118" s="105" t="n"/>
    </row>
    <row r="119" ht="20" customHeight="1">
      <c r="B119" s="61" t="n"/>
      <c r="C119" s="62" t="n"/>
      <c r="D119" s="62" t="n"/>
      <c r="E119" s="62" t="n"/>
      <c r="F119" s="62" t="n"/>
      <c r="G119" s="105" t="n"/>
    </row>
    <row r="120" ht="20" customHeight="1">
      <c r="B120" s="61" t="n"/>
      <c r="C120" s="62" t="n"/>
      <c r="D120" s="62" t="n"/>
      <c r="E120" s="62" t="n"/>
      <c r="F120" s="62" t="n"/>
      <c r="G120" s="105" t="n"/>
    </row>
    <row r="121" ht="20" customHeight="1">
      <c r="B121" s="61" t="n"/>
      <c r="C121" s="62" t="n"/>
      <c r="D121" s="62" t="n"/>
      <c r="E121" s="62" t="n"/>
      <c r="F121" s="62" t="n"/>
      <c r="G121" s="105" t="n"/>
    </row>
    <row r="122" ht="20" customHeight="1">
      <c r="B122" s="61" t="n"/>
      <c r="C122" s="62" t="n"/>
      <c r="D122" s="62" t="n"/>
      <c r="E122" s="62" t="n"/>
      <c r="F122" s="62" t="n"/>
      <c r="G122" s="105" t="n"/>
    </row>
    <row r="123" ht="20" customHeight="1">
      <c r="B123" s="61" t="n"/>
      <c r="C123" s="62" t="n"/>
      <c r="D123" s="62" t="n"/>
      <c r="E123" s="62" t="n"/>
      <c r="F123" s="62" t="n"/>
      <c r="G123" s="105" t="n"/>
    </row>
    <row r="124" ht="20" customHeight="1">
      <c r="B124" s="61" t="n"/>
      <c r="C124" s="62" t="n"/>
      <c r="D124" s="62" t="n"/>
      <c r="E124" s="62" t="n"/>
      <c r="F124" s="62" t="n"/>
      <c r="G124" s="105" t="n"/>
    </row>
    <row r="125" ht="20" customHeight="1">
      <c r="B125" s="61" t="n"/>
      <c r="C125" s="62" t="n"/>
      <c r="D125" s="62" t="n"/>
      <c r="E125" s="62" t="n"/>
      <c r="F125" s="62" t="n"/>
      <c r="G125" s="105" t="n"/>
    </row>
    <row r="126" ht="20" customHeight="1">
      <c r="B126" s="61" t="n"/>
      <c r="C126" s="62" t="n"/>
      <c r="D126" s="62" t="n"/>
      <c r="E126" s="62" t="n"/>
      <c r="F126" s="62" t="n"/>
      <c r="G126" s="105" t="n"/>
    </row>
    <row r="127" ht="20" customHeight="1">
      <c r="B127" s="61" t="n"/>
      <c r="C127" s="62" t="n"/>
      <c r="D127" s="62" t="n"/>
      <c r="E127" s="62" t="n"/>
      <c r="F127" s="62" t="n"/>
      <c r="G127" s="105" t="n"/>
    </row>
    <row r="128" ht="20" customHeight="1">
      <c r="B128" s="61" t="n"/>
      <c r="C128" s="62" t="n"/>
      <c r="D128" s="62" t="n"/>
      <c r="E128" s="62" t="n"/>
      <c r="F128" s="62" t="n"/>
      <c r="G128" s="105" t="n"/>
    </row>
    <row r="129" ht="20" customHeight="1">
      <c r="B129" s="61" t="n"/>
      <c r="C129" s="62" t="n"/>
      <c r="D129" s="62" t="n"/>
      <c r="E129" s="62" t="n"/>
      <c r="F129" s="62" t="n"/>
      <c r="G129" s="105" t="n"/>
    </row>
    <row r="130" ht="20" customHeight="1">
      <c r="B130" s="61" t="n"/>
      <c r="C130" s="62" t="n"/>
      <c r="D130" s="62" t="n"/>
      <c r="E130" s="62" t="n"/>
      <c r="F130" s="62" t="n"/>
      <c r="G130" s="105" t="n"/>
    </row>
    <row r="131" ht="20" customHeight="1">
      <c r="B131" s="61" t="n"/>
      <c r="C131" s="62" t="n"/>
      <c r="D131" s="62" t="n"/>
      <c r="E131" s="62" t="n"/>
      <c r="F131" s="62" t="n"/>
      <c r="G131" s="105" t="n"/>
    </row>
  </sheetData>
  <mergeCells count="8">
    <mergeCell ref="O2:P2"/>
    <mergeCell ref="B10:G10"/>
    <mergeCell ref="G7:G8"/>
    <mergeCell ref="I24:P25"/>
    <mergeCell ref="I26:P27"/>
    <mergeCell ref="I28:P29"/>
    <mergeCell ref="I23:P23"/>
    <mergeCell ref="B6:G6"/>
  </mergeCells>
  <conditionalFormatting sqref="C12:F131">
    <cfRule type="colorScale" priority="1">
      <colorScale>
        <cfvo type="num" val="1"/>
        <cfvo type="num" val="3"/>
        <cfvo type="num" val="5"/>
        <color rgb="00FEE2E2"/>
        <color rgb="00FEF9C3"/>
        <color rgb="00BBF7D0"/>
      </colorScale>
    </cfRule>
  </conditionalFormatting>
  <dataValidations count="1">
    <dataValidation sqref="C12:F131" showDropDown="0" showInputMessage="0" showErrorMessage="1" allowBlank="1" errorTitle="Échelle" error="Saisis un entier de 1 à 5." type="whole" operator="between">
      <formula1>1</formula1>
      <formula2>5</formula2>
    </dataValidation>
  </dataValidations>
  <hyperlinks>
    <hyperlink ref="O2" location="'Accueil'!A1" display="Accueil"/>
  </hyperlinks>
  <printOptions horizontalCentered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17.xml><?xml version="1.0" encoding="utf-8"?>
<worksheet xmlns="http://schemas.openxmlformats.org/spreadsheetml/2006/main">
  <sheetPr>
    <tabColor rgb="00EF4444"/>
    <outlinePr summaryBelow="1" summaryRight="1"/>
    <pageSetUpPr fitToPage="1"/>
  </sheetPr>
  <dimension ref="A1:F26"/>
  <sheetViews>
    <sheetView showGridLines="0" tabSelected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" customWidth="1" min="1" max="1"/>
    <col width="5" customWidth="1" min="2" max="2"/>
    <col width="36" customWidth="1" min="3" max="3"/>
    <col width="58" customWidth="1" min="4" max="4"/>
    <col width="62" customWidth="1" min="5" max="5"/>
    <col width="2" customWidth="1" min="6" max="6"/>
  </cols>
  <sheetData>
    <row r="1" ht="22" customHeight="1">
      <c r="A1" s="1" t="n"/>
      <c r="B1" s="2">
        <f>'Paramètres'!$C$7</f>
        <v/>
      </c>
      <c r="C1" s="1" t="n"/>
      <c r="D1" s="1" t="n"/>
      <c r="E1" s="1" t="n"/>
      <c r="F1" s="1" t="n"/>
    </row>
    <row r="2" ht="30" customHeight="1">
      <c r="A2" s="1" t="n"/>
      <c r="B2" s="32" t="inlineStr">
        <is>
          <t>Les 20 erreurs à éviter</t>
        </is>
      </c>
      <c r="C2" s="1" t="n"/>
      <c r="D2" s="33" t="inlineStr">
        <is>
          <t>← Accueil</t>
        </is>
      </c>
      <c r="E2" s="1" t="n"/>
      <c r="F2" s="1" t="n"/>
    </row>
    <row r="3" ht="18" customHeight="1">
      <c r="A3" s="1" t="n"/>
      <c r="B3" s="4" t="inlineStr">
        <is>
          <t>Les erreurs qui détruisent les comptes, et la parade pour chacune.</t>
        </is>
      </c>
      <c r="C3" s="1" t="n"/>
      <c r="D3" s="1" t="n"/>
      <c r="E3" s="1" t="n"/>
      <c r="F3" s="1" t="n"/>
    </row>
    <row r="4" ht="4" customHeight="1">
      <c r="A4" s="5" t="n"/>
      <c r="B4" s="5" t="n"/>
      <c r="C4" s="5" t="n"/>
      <c r="D4" s="5" t="n"/>
      <c r="E4" s="5" t="n"/>
      <c r="F4" s="5" t="n"/>
    </row>
    <row r="6" ht="28" customHeight="1">
      <c r="B6" s="83" t="inlineStr">
        <is>
          <t>#</t>
        </is>
      </c>
      <c r="C6" s="117" t="inlineStr">
        <is>
          <t>Erreur classique</t>
        </is>
      </c>
      <c r="D6" s="117" t="inlineStr">
        <is>
          <t>Pourquoi elle coûte cher</t>
        </is>
      </c>
      <c r="E6" s="117" t="inlineStr">
        <is>
          <t>Comment l'éviter</t>
        </is>
      </c>
    </row>
    <row r="7" ht="34" customHeight="1">
      <c r="B7" s="223" t="n">
        <v>1</v>
      </c>
      <c r="C7" s="37" t="inlineStr">
        <is>
          <t>Risquer trop par trade</t>
        </is>
      </c>
      <c r="D7" s="37" t="inlineStr">
        <is>
          <t>Quelques pertes consécutives suffisent à créer un drawdown irrécupérable.</t>
        </is>
      </c>
      <c r="E7" s="37" t="inlineStr">
        <is>
          <t>Fixe 0,5 – 1 % de risque et utilise le Calculateur à chaque trade.</t>
        </is>
      </c>
    </row>
    <row r="8" ht="24" customHeight="1">
      <c r="B8" s="224" t="n">
        <v>2</v>
      </c>
      <c r="C8" s="57" t="inlineStr">
        <is>
          <t>Trader sans stop-loss</t>
        </is>
      </c>
      <c r="D8" s="57" t="inlineStr">
        <is>
          <t>Une seule position peut effacer des mois de gains.</t>
        </is>
      </c>
      <c r="E8" s="57" t="inlineStr">
        <is>
          <t>Pose le stop au moment de l'entrée, jamais « plus tard ».</t>
        </is>
      </c>
    </row>
    <row r="9" ht="34" customHeight="1">
      <c r="B9" s="223" t="n">
        <v>3</v>
      </c>
      <c r="C9" s="37" t="inlineStr">
        <is>
          <t>Déplacer le stop pour éviter la perte</t>
        </is>
      </c>
      <c r="D9" s="37" t="inlineStr">
        <is>
          <t>Transforme une petite perte maîtrisée en grosse perte.</t>
        </is>
      </c>
      <c r="E9" s="37" t="inlineStr">
        <is>
          <t>Le stop ne s'éloigne jamais. S'il est touché, le scénario était faux.</t>
        </is>
      </c>
    </row>
    <row r="10" ht="24" customHeight="1">
      <c r="B10" s="224" t="n">
        <v>4</v>
      </c>
      <c r="C10" s="57" t="inlineStr">
        <is>
          <t>Revenge trading</t>
        </is>
      </c>
      <c r="D10" s="57" t="inlineStr">
        <is>
          <t>Décision émotionnelle, taille trop grande, aucun setup valide.</t>
        </is>
      </c>
      <c r="E10" s="57" t="inlineStr">
        <is>
          <t>Pause obligatoire après 2 pertes consécutives.</t>
        </is>
      </c>
    </row>
    <row r="11" ht="24" customHeight="1">
      <c r="B11" s="223" t="n">
        <v>5</v>
      </c>
      <c r="C11" s="37" t="inlineStr">
        <is>
          <t>FOMO : courir après le prix</t>
        </is>
      </c>
      <c r="D11" s="37" t="inlineStr">
        <is>
          <t>Entrée loin du niveau, stop trop large, R:R dégradé.</t>
        </is>
      </c>
      <c r="E11" s="37" t="inlineStr">
        <is>
          <t>Entrée sur niveau prévu uniquement ; sinon, tu passes.</t>
        </is>
      </c>
    </row>
    <row r="12" ht="24" customHeight="1">
      <c r="B12" s="224" t="n">
        <v>6</v>
      </c>
      <c r="C12" s="57" t="inlineStr">
        <is>
          <t>Overtrading</t>
        </is>
      </c>
      <c r="D12" s="57" t="inlineStr">
        <is>
          <t>Les frais s'accumulent et la qualité des setups baisse.</t>
        </is>
      </c>
      <c r="E12" s="57" t="inlineStr">
        <is>
          <t>Plafonne le nombre de trades par semaine dans ton plan.</t>
        </is>
      </c>
    </row>
    <row r="13" ht="34" customHeight="1">
      <c r="B13" s="223" t="n">
        <v>7</v>
      </c>
      <c r="C13" s="37" t="inlineStr">
        <is>
          <t>Couper les gains trop tôt</t>
        </is>
      </c>
      <c r="D13" s="37" t="inlineStr">
        <is>
          <t>Le ratio gain / perte s'effondre et l'espérance devient négative.</t>
        </is>
      </c>
      <c r="E13" s="37" t="inlineStr">
        <is>
          <t>Objectif défini avant l'entrée, sorties partielles planifiées.</t>
        </is>
      </c>
    </row>
    <row r="14" ht="24" customHeight="1">
      <c r="B14" s="224" t="n">
        <v>8</v>
      </c>
      <c r="C14" s="57" t="inlineStr">
        <is>
          <t>Laisser courir les pertes</t>
        </is>
      </c>
      <c r="D14" s="57" t="inlineStr">
        <is>
          <t>Une perte qui dépasse -1 R détruit plusieurs gains.</t>
        </is>
      </c>
      <c r="E14" s="57" t="inlineStr">
        <is>
          <t>Respecte le stop. Compare tes R réels à -1 dans l'onglet Analyse.</t>
        </is>
      </c>
    </row>
    <row r="15" ht="34" customHeight="1">
      <c r="B15" s="223" t="n">
        <v>9</v>
      </c>
      <c r="C15" s="37" t="inlineStr">
        <is>
          <t>Trader contre la tendance du timeframe supérieur</t>
        </is>
      </c>
      <c r="D15" s="37" t="inlineStr">
        <is>
          <t>Tu te bats contre le flux dominant.</t>
        </is>
      </c>
      <c r="E15" s="37" t="inlineStr">
        <is>
          <t>Analyse 1W / 1D avant chaque entrée et ajoute-le à ta checklist.</t>
        </is>
      </c>
    </row>
    <row r="16" ht="34" customHeight="1">
      <c r="B16" s="224" t="n">
        <v>10</v>
      </c>
      <c r="C16" s="57" t="inlineStr">
        <is>
          <t>Moyenner à la baisse une position perdante</t>
        </is>
      </c>
      <c r="D16" s="57" t="inlineStr">
        <is>
          <t>Augmente l'exposition sur un scénario invalidé.</t>
        </is>
      </c>
      <c r="E16" s="57" t="inlineStr">
        <is>
          <t>Ne renforce que les positions gagnantes, selon un plan écrit.</t>
        </is>
      </c>
    </row>
    <row r="17" ht="24" customHeight="1">
      <c r="B17" s="223" t="n">
        <v>11</v>
      </c>
      <c r="C17" s="37" t="inlineStr">
        <is>
          <t>Ignorer les frais et le slippage</t>
        </is>
      </c>
      <c r="D17" s="37" t="inlineStr">
        <is>
          <t>Un R:R apparent de 1,5 peut tomber sous 1,2 net.</t>
        </is>
      </c>
      <c r="E17" s="37" t="inlineStr">
        <is>
          <t>Renseigne les frais réels et regarde le R:R net du Calculateur.</t>
        </is>
      </c>
    </row>
    <row r="18" ht="24" customHeight="1">
      <c r="B18" s="224" t="n">
        <v>12</v>
      </c>
      <c r="C18" s="57" t="inlineStr">
        <is>
          <t>Ne pas tenir de journal</t>
        </is>
      </c>
      <c r="D18" s="57" t="inlineStr">
        <is>
          <t>Impossible de savoir ce qui fonctionne vraiment.</t>
        </is>
      </c>
      <c r="E18" s="57" t="inlineStr">
        <is>
          <t>Une ligne par trade, saisie le jour même.</t>
        </is>
      </c>
    </row>
    <row r="19" ht="24" customHeight="1">
      <c r="B19" s="223" t="n">
        <v>13</v>
      </c>
      <c r="C19" s="37" t="inlineStr">
        <is>
          <t>Changer de stratégie après 3 trades</t>
        </is>
      </c>
      <c r="D19" s="37" t="inlineStr">
        <is>
          <t>Aucun échantillon statistique valable.</t>
        </is>
      </c>
      <c r="E19" s="37" t="inlineStr">
        <is>
          <t>Engage-toi sur 30 trades minimum avant de juger un setup.</t>
        </is>
      </c>
    </row>
    <row r="20" ht="24" customHeight="1">
      <c r="B20" s="224" t="n">
        <v>14</v>
      </c>
      <c r="C20" s="57" t="inlineStr">
        <is>
          <t>Trop de positions corrélées</t>
        </is>
      </c>
      <c r="D20" s="57" t="inlineStr">
        <is>
          <t>Un seul mouvement de marché les touche toutes en même temps.</t>
        </is>
      </c>
      <c r="E20" s="57" t="inlineStr">
        <is>
          <t>Plafonne le nombre de positions ouvertes et le risque total.</t>
        </is>
      </c>
    </row>
    <row r="21" ht="24" customHeight="1">
      <c r="B21" s="223" t="n">
        <v>15</v>
      </c>
      <c r="C21" s="37" t="inlineStr">
        <is>
          <t>Trader autour d'événements majeurs</t>
        </is>
      </c>
      <c r="D21" s="37" t="inlineStr">
        <is>
          <t>Gaps et volatilité dépassent ton stop.</t>
        </is>
      </c>
      <c r="E21" s="37" t="inlineStr">
        <is>
          <t>Consulte le calendrier chaque semaine, réduis l'exposition.</t>
        </is>
      </c>
    </row>
    <row r="22" ht="34" customHeight="1">
      <c r="B22" s="224" t="n">
        <v>16</v>
      </c>
      <c r="C22" s="57" t="inlineStr">
        <is>
          <t>Levier excessif</t>
        </is>
      </c>
      <c r="D22" s="57" t="inlineStr">
        <is>
          <t>La liquidation arrive avant ton stop.</t>
        </is>
      </c>
      <c r="E22" s="57" t="inlineStr">
        <is>
          <t>Dimensionne par le risque, utilise le levier uniquement pour la marge.</t>
        </is>
      </c>
    </row>
    <row r="23" ht="24" customHeight="1">
      <c r="B23" s="223" t="n">
        <v>17</v>
      </c>
      <c r="C23" s="37" t="inlineStr">
        <is>
          <t>Entrer sans R:R minimum</t>
        </is>
      </c>
      <c r="D23" s="37" t="inlineStr">
        <is>
          <t>Il faut un taux de réussite irréaliste pour compenser.</t>
        </is>
      </c>
      <c r="E23" s="37" t="inlineStr">
        <is>
          <t>Refuse tout trade sous ton ratio minimal (Paramètres).</t>
        </is>
      </c>
    </row>
    <row r="24" ht="34" customHeight="1">
      <c r="B24" s="224" t="n">
        <v>18</v>
      </c>
      <c r="C24" s="57" t="inlineStr">
        <is>
          <t>Négliger la liquidité</t>
        </is>
      </c>
      <c r="D24" s="57" t="inlineStr">
        <is>
          <t>Slippage important et sorties difficiles sur les petits actifs.</t>
        </is>
      </c>
      <c r="E24" s="57" t="inlineStr">
        <is>
          <t>Vérifie le volume quotidien avant d'entrer.</t>
        </is>
      </c>
    </row>
    <row r="25" ht="34" customHeight="1">
      <c r="B25" s="223" t="n">
        <v>19</v>
      </c>
      <c r="C25" s="37" t="inlineStr">
        <is>
          <t>Suivre des signaux sans les comprendre</t>
        </is>
      </c>
      <c r="D25" s="37" t="inlineStr">
        <is>
          <t>Tu ne peux ni gérer ni analyser un trade que tu ne comprends pas.</t>
        </is>
      </c>
      <c r="E25" s="37" t="inlineStr">
        <is>
          <t>Ne trade que des setups que tu sais expliquer en une phrase.</t>
        </is>
      </c>
    </row>
    <row r="26" ht="24" customHeight="1">
      <c r="B26" s="224" t="n">
        <v>20</v>
      </c>
      <c r="C26" s="57" t="inlineStr">
        <is>
          <t>Ne jamais faire de pause</t>
        </is>
      </c>
      <c r="D26" s="57" t="inlineStr">
        <is>
          <t>La fatigue dégrade la discipline et amplifie les biais.</t>
        </is>
      </c>
      <c r="E26" s="57" t="inlineStr">
        <is>
          <t>Prévois des jours sans trading et des revues hebdomadaires.</t>
        </is>
      </c>
    </row>
  </sheetData>
  <mergeCells count="1">
    <mergeCell ref="D2:E2"/>
  </mergeCells>
  <hyperlinks>
    <hyperlink ref="D2" location="'Accueil'!A1" display="Accueil"/>
  </hyperlinks>
  <printOptions horizontalCentered="1"/>
  <pageMargins left="0.75" right="0.75" top="1" bottom="1" header="0.5" footer="0.5"/>
  <pageSetup orientation="landscape" fitToHeight="0" fitToWidth="1"/>
</worksheet>
</file>

<file path=xl/worksheets/sheet18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F22"/>
  <sheetViews>
    <sheetView showGridLines="0" tabSelected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" customWidth="1" min="1" max="1"/>
    <col width="14" customWidth="1" min="2" max="2"/>
    <col width="56" customWidth="1" min="3" max="3"/>
    <col width="56" customWidth="1" min="4" max="4"/>
    <col width="12" customWidth="1" min="5" max="5"/>
    <col width="2" customWidth="1" min="6" max="6"/>
  </cols>
  <sheetData>
    <row r="1" ht="22" customHeight="1">
      <c r="A1" s="1" t="n"/>
      <c r="B1" s="2">
        <f>'Paramètres'!$C$7</f>
        <v/>
      </c>
      <c r="C1" s="1" t="n"/>
      <c r="D1" s="1" t="n"/>
      <c r="E1" s="1" t="n"/>
      <c r="F1" s="1" t="n"/>
    </row>
    <row r="2" ht="30" customHeight="1">
      <c r="A2" s="1" t="n"/>
      <c r="B2" s="32" t="inlineStr">
        <is>
          <t>Routine de trader</t>
        </is>
      </c>
      <c r="C2" s="1" t="n"/>
      <c r="D2" s="33" t="inlineStr">
        <is>
          <t>← Accueil</t>
        </is>
      </c>
      <c r="E2" s="1" t="n"/>
      <c r="F2" s="1" t="n"/>
    </row>
    <row r="3" ht="18" customHeight="1">
      <c r="A3" s="1" t="n"/>
      <c r="B3" s="4" t="inlineStr">
        <is>
          <t>Les habitudes qui font la différence : coche-les au fil du temps.</t>
        </is>
      </c>
      <c r="C3" s="1" t="n"/>
      <c r="D3" s="1" t="n"/>
      <c r="E3" s="1" t="n"/>
      <c r="F3" s="1" t="n"/>
    </row>
    <row r="4" ht="4" customHeight="1">
      <c r="A4" s="5" t="n"/>
      <c r="B4" s="5" t="n"/>
      <c r="C4" s="5" t="n"/>
      <c r="D4" s="5" t="n"/>
      <c r="E4" s="5" t="n"/>
      <c r="F4" s="5" t="n"/>
    </row>
    <row r="6" ht="28" customHeight="1">
      <c r="B6" s="83" t="inlineStr">
        <is>
          <t>Fréquence</t>
        </is>
      </c>
      <c r="C6" s="117" t="inlineStr">
        <is>
          <t>Tâche</t>
        </is>
      </c>
      <c r="D6" s="117" t="inlineStr">
        <is>
          <t>Pourquoi</t>
        </is>
      </c>
      <c r="E6" s="117" t="inlineStr">
        <is>
          <t>Statut</t>
        </is>
      </c>
    </row>
    <row r="7" ht="34" customHeight="1">
      <c r="B7" s="35" t="inlineStr">
        <is>
          <t>Chaque jour</t>
        </is>
      </c>
      <c r="C7" s="37" t="inlineStr">
        <is>
          <t>Consulter le calendrier économique et le contexte de marché (indices, dominance, actualité de tes actifs).</t>
        </is>
      </c>
      <c r="D7" s="37" t="inlineStr">
        <is>
          <t>Éviter les mauvaises surprises et situer le contexte.</t>
        </is>
      </c>
      <c r="E7" s="49" t="n"/>
    </row>
    <row r="8" ht="34" customHeight="1">
      <c r="B8" s="56" t="inlineStr">
        <is>
          <t>Chaque jour</t>
        </is>
      </c>
      <c r="C8" s="57" t="inlineStr">
        <is>
          <t>Revoir les positions ouvertes : stop, objectif, invalidation, niveau de risque total.</t>
        </is>
      </c>
      <c r="D8" s="57" t="inlineStr">
        <is>
          <t>Garder le contrôle du risque en continu.</t>
        </is>
      </c>
      <c r="E8" s="49" t="n"/>
    </row>
    <row r="9" ht="34" customHeight="1">
      <c r="B9" s="35" t="inlineStr">
        <is>
          <t>Chaque jour</t>
        </is>
      </c>
      <c r="C9" s="37" t="inlineStr">
        <is>
          <t>Scanner la Watchlist (20 min maximum) et placer des alertes sur les niveaux d'entrée.</t>
        </is>
      </c>
      <c r="D9" s="37" t="inlineStr">
        <is>
          <t>Éviter de fixer l'écran et d'improviser.</t>
        </is>
      </c>
      <c r="E9" s="49" t="n"/>
    </row>
    <row r="10" ht="24" customHeight="1">
      <c r="B10" s="56" t="inlineStr">
        <is>
          <t>Chaque jour</t>
        </is>
      </c>
      <c r="C10" s="57" t="inlineStr">
        <is>
          <t>Appliquer la checklist pré-trade avant toute entrée.</t>
        </is>
      </c>
      <c r="D10" s="57" t="inlineStr">
        <is>
          <t>Garantir un score minimal pour chaque trade.</t>
        </is>
      </c>
      <c r="E10" s="49" t="n"/>
    </row>
    <row r="11" ht="34" customHeight="1">
      <c r="B11" s="35" t="inlineStr">
        <is>
          <t>Chaque jour</t>
        </is>
      </c>
      <c r="C11" s="37" t="inlineStr">
        <is>
          <t>Calculer la taille de position avec le Calculateur et poser le stop immédiatement.</t>
        </is>
      </c>
      <c r="D11" s="37" t="inlineStr">
        <is>
          <t>Respecter le risque fixé par trade.</t>
        </is>
      </c>
      <c r="E11" s="49" t="n"/>
    </row>
    <row r="12" ht="34" customHeight="1">
      <c r="B12" s="56" t="inlineStr">
        <is>
          <t>Chaque jour</t>
        </is>
      </c>
      <c r="C12" s="57" t="inlineStr">
        <is>
          <t>Mettre à jour le Journal et le Check-in (émotion, discipline).</t>
        </is>
      </c>
      <c r="D12" s="57" t="inlineStr">
        <is>
          <t>Ne rien perdre des enseignements du jour.</t>
        </is>
      </c>
      <c r="E12" s="49" t="n"/>
    </row>
    <row r="13" ht="34" customHeight="1">
      <c r="B13" s="35" t="inlineStr">
        <is>
          <t>Chaque semaine</t>
        </is>
      </c>
      <c r="C13" s="37" t="inlineStr">
        <is>
          <t>Lire le diagnostic du coach et le Dashboard : courbe de capital, drawdown, séries.</t>
        </is>
      </c>
      <c r="D13" s="37" t="inlineStr">
        <is>
          <t>Prendre du recul sur la performance.</t>
        </is>
      </c>
      <c r="E13" s="49" t="n"/>
    </row>
    <row r="14" ht="34" customHeight="1">
      <c r="B14" s="56" t="inlineStr">
        <is>
          <t>Chaque semaine</t>
        </is>
      </c>
      <c r="C14" s="57" t="inlineStr">
        <is>
          <t>Relire chaque trade clôturé avec sa capture d'écran et sa leçon.</t>
        </is>
      </c>
      <c r="D14" s="57" t="inlineStr">
        <is>
          <t>Identifier les erreurs d'exécution.</t>
        </is>
      </c>
      <c r="E14" s="49" t="n"/>
    </row>
    <row r="15" ht="34" customHeight="1">
      <c r="B15" s="35" t="inlineStr">
        <is>
          <t>Chaque semaine</t>
        </is>
      </c>
      <c r="C15" s="37" t="inlineStr">
        <is>
          <t>Préparer la semaine : niveaux majeurs 1W / 1D, actifs à surveiller, événements.</t>
        </is>
      </c>
      <c r="D15" s="37" t="inlineStr">
        <is>
          <t>Entrer dans la semaine avec un plan.</t>
        </is>
      </c>
      <c r="E15" s="49" t="n"/>
    </row>
    <row r="16" ht="34" customHeight="1">
      <c r="B16" s="56" t="inlineStr">
        <is>
          <t>Chaque semaine</t>
        </is>
      </c>
      <c r="C16" s="57" t="inlineStr">
        <is>
          <t>Vérifier les limites (perte hebdomadaire, nombre de trades, positions ouvertes).</t>
        </is>
      </c>
      <c r="D16" s="57" t="inlineStr">
        <is>
          <t>Faire respecter ton plan.</t>
        </is>
      </c>
      <c r="E16" s="49" t="n"/>
    </row>
    <row r="17" ht="34" customHeight="1">
      <c r="B17" s="35" t="inlineStr">
        <is>
          <t>Chaque mois</t>
        </is>
      </c>
      <c r="C17" s="37" t="inlineStr">
        <is>
          <t>Analyser les résultats par setup, actif, jour de semaine, émotion et erreur dans Analyse.</t>
        </is>
      </c>
      <c r="D17" s="37" t="inlineStr">
        <is>
          <t>Savoir où tu gagnes et où tu perds.</t>
        </is>
      </c>
      <c r="E17" s="49" t="n"/>
    </row>
    <row r="18" ht="24" customHeight="1">
      <c r="B18" s="56" t="inlineStr">
        <is>
          <t>Chaque mois</t>
        </is>
      </c>
      <c r="C18" s="57" t="inlineStr">
        <is>
          <t>Comparer le P&amp;L réel au P&amp;L visé dans l'onglet Objectifs.</t>
        </is>
      </c>
      <c r="D18" s="57" t="inlineStr">
        <is>
          <t>Ajuster tes attentes avec réalisme.</t>
        </is>
      </c>
      <c r="E18" s="49" t="n"/>
    </row>
    <row r="19" ht="34" customHeight="1">
      <c r="B19" s="35" t="inlineStr">
        <is>
          <t>Chaque mois</t>
        </is>
      </c>
      <c r="C19" s="37" t="inlineStr">
        <is>
          <t>Écarter le pire setup et noter une amélioration concrète pour le mois suivant.</t>
        </is>
      </c>
      <c r="D19" s="37" t="inlineStr">
        <is>
          <t>Améliorer ton système de façon mesurée.</t>
        </is>
      </c>
      <c r="E19" s="49" t="n"/>
    </row>
    <row r="20" ht="24" customHeight="1">
      <c r="B20" s="56" t="inlineStr">
        <is>
          <t>Chaque mois</t>
        </is>
      </c>
      <c r="C20" s="57" t="inlineStr">
        <is>
          <t>Sauvegarder le classeur (copie datée).</t>
        </is>
      </c>
      <c r="D20" s="57" t="inlineStr">
        <is>
          <t>Protéger ton historique.</t>
        </is>
      </c>
      <c r="E20" s="49" t="n"/>
    </row>
    <row r="21" ht="34" customHeight="1">
      <c r="B21" s="35" t="inlineStr">
        <is>
          <t>Chaque trimestre</t>
        </is>
      </c>
      <c r="C21" s="37" t="inlineStr">
        <is>
          <t>Revoir ton plan de trading et tes règles de risque.</t>
        </is>
      </c>
      <c r="D21" s="37" t="inlineStr">
        <is>
          <t>Adapter ton système à ta situation actuelle.</t>
        </is>
      </c>
      <c r="E21" s="49" t="n"/>
    </row>
    <row r="22" ht="34" customHeight="1">
      <c r="B22" s="56" t="inlineStr">
        <is>
          <t>Chaque trimestre</t>
        </is>
      </c>
      <c r="C22" s="57" t="inlineStr">
        <is>
          <t>Fixer de nouveaux paliers d'objectifs et réévaluer ta tolérance au drawdown.</t>
        </is>
      </c>
      <c r="D22" s="57" t="inlineStr">
        <is>
          <t>Garder des objectifs réalistes.</t>
        </is>
      </c>
      <c r="E22" s="49" t="n"/>
    </row>
  </sheetData>
  <mergeCells count="1">
    <mergeCell ref="D2:E2"/>
  </mergeCells>
  <conditionalFormatting sqref="E7:E22">
    <cfRule type="cellIs" priority="1" operator="equal" dxfId="8">
      <formula>"Fait"</formula>
    </cfRule>
  </conditionalFormatting>
  <dataValidations count="1">
    <dataValidation sqref="E7:E22" showDropDown="0" showInputMessage="0" showErrorMessage="0" allowBlank="1" type="list">
      <formula1>"À faire,Fait"</formula1>
    </dataValidation>
  </dataValidations>
  <hyperlinks>
    <hyperlink ref="D2" location="'Accueil'!A1" display="Accueil"/>
  </hyperlinks>
  <printOptions horizontalCentered="1"/>
  <pageMargins left="0.75" right="0.75" top="1" bottom="1" header="0.5" footer="0.5"/>
  <pageSetup orientation="landscape" fitToHeight="0" fitToWidth="1"/>
</worksheet>
</file>

<file path=xl/worksheets/sheet19.xml><?xml version="1.0" encoding="utf-8"?>
<worksheet xmlns="http://schemas.openxmlformats.org/spreadsheetml/2006/main">
  <sheetPr>
    <tabColor rgb="008B5CF6"/>
    <outlinePr summaryBelow="1" summaryRight="1"/>
    <pageSetUpPr fitToPage="1"/>
  </sheetPr>
  <dimension ref="A1:D74"/>
  <sheetViews>
    <sheetView showGridLines="0" tabSelected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" customWidth="1" min="1" max="1"/>
    <col width="34" customWidth="1" min="2" max="2"/>
    <col width="110" customWidth="1" min="3" max="3"/>
    <col width="2" customWidth="1" min="4" max="4"/>
  </cols>
  <sheetData>
    <row r="1" ht="22" customHeight="1">
      <c r="A1" s="1" t="n"/>
      <c r="B1" s="2">
        <f>'Paramètres'!$C$7</f>
        <v/>
      </c>
      <c r="C1" s="1" t="n"/>
      <c r="D1" s="1" t="n"/>
    </row>
    <row r="2" ht="30" customHeight="1">
      <c r="A2" s="1" t="n"/>
      <c r="B2" s="33" t="inlineStr">
        <is>
          <t>← Accueil</t>
        </is>
      </c>
      <c r="C2" s="1" t="n"/>
      <c r="D2" s="1" t="n"/>
    </row>
    <row r="3" ht="18" customHeight="1">
      <c r="A3" s="1" t="n"/>
      <c r="B3" s="4" t="inlineStr">
        <is>
          <t>Les termes essentiels du trading, expliqués simplement.</t>
        </is>
      </c>
      <c r="C3" s="1" t="n"/>
      <c r="D3" s="1" t="n"/>
    </row>
    <row r="4" ht="4" customHeight="1">
      <c r="A4" s="5" t="n"/>
      <c r="B4" s="5" t="n"/>
      <c r="C4" s="5" t="n"/>
      <c r="D4" s="5" t="n"/>
    </row>
    <row r="6" ht="28" customHeight="1">
      <c r="B6" s="83" t="inlineStr">
        <is>
          <t>Terme</t>
        </is>
      </c>
      <c r="C6" s="117" t="inlineStr">
        <is>
          <t>Définition</t>
        </is>
      </c>
    </row>
    <row r="7" ht="24" customHeight="1">
      <c r="B7" s="35" t="inlineStr">
        <is>
          <t>Swing trading</t>
        </is>
      </c>
      <c r="C7" s="37" t="inlineStr">
        <is>
          <t>Style de trading qui vise à capter un mouvement de quelques jours à quelques semaines.</t>
        </is>
      </c>
    </row>
    <row r="8" ht="24" customHeight="1">
      <c r="B8" s="56" t="inlineStr">
        <is>
          <t>Day trading</t>
        </is>
      </c>
      <c r="C8" s="57" t="inlineStr">
        <is>
          <t>Style où les positions sont ouvertes et clôturées dans la même journée.</t>
        </is>
      </c>
    </row>
    <row r="9" ht="24" customHeight="1">
      <c r="B9" s="35" t="inlineStr">
        <is>
          <t>Position trading</t>
        </is>
      </c>
      <c r="C9" s="37" t="inlineStr">
        <is>
          <t>Style long terme où les positions sont tenues plusieurs semaines à plusieurs mois.</t>
        </is>
      </c>
    </row>
    <row r="10" ht="24" customHeight="1">
      <c r="B10" s="56" t="inlineStr">
        <is>
          <t>Long / Achat</t>
        </is>
      </c>
      <c r="C10" s="57" t="inlineStr">
        <is>
          <t>Position qui profite d'une hausse du prix.</t>
        </is>
      </c>
    </row>
    <row r="11" ht="24" customHeight="1">
      <c r="B11" s="35" t="inlineStr">
        <is>
          <t>Short / Vente à découvert</t>
        </is>
      </c>
      <c r="C11" s="37" t="inlineStr">
        <is>
          <t>Position qui profite d'une baisse du prix.</t>
        </is>
      </c>
    </row>
    <row r="12" ht="24" customHeight="1">
      <c r="B12" s="56" t="inlineStr">
        <is>
          <t>Stop-loss</t>
        </is>
      </c>
      <c r="C12" s="57" t="inlineStr">
        <is>
          <t>Ordre qui clôture automatiquement la position à un niveau de perte prédéfini.</t>
        </is>
      </c>
    </row>
    <row r="13" ht="24" customHeight="1">
      <c r="B13" s="35" t="inlineStr">
        <is>
          <t>Take-profit (objectif)</t>
        </is>
      </c>
      <c r="C13" s="37" t="inlineStr">
        <is>
          <t>Niveau de prix prédéfini où la position est clôturée pour sécuriser le gain.</t>
        </is>
      </c>
    </row>
    <row r="14" ht="24" customHeight="1">
      <c r="B14" s="56" t="inlineStr">
        <is>
          <t>Risque / Récompense (R:R)</t>
        </is>
      </c>
      <c r="C14" s="57" t="inlineStr">
        <is>
          <t>Rapport entre le gain potentiel et la perte potentielle d'un trade.</t>
        </is>
      </c>
    </row>
    <row r="15" ht="24" customHeight="1">
      <c r="B15" s="35" t="inlineStr">
        <is>
          <t>Multiple R</t>
        </is>
      </c>
      <c r="C15" s="37" t="inlineStr">
        <is>
          <t>Résultat d'un trade exprimé en multiple du risque initial (+2 R = deux fois le risque gagné).</t>
        </is>
      </c>
    </row>
    <row r="16" ht="24" customHeight="1">
      <c r="B16" s="56" t="inlineStr">
        <is>
          <t>Espérance</t>
        </is>
      </c>
      <c r="C16" s="57" t="inlineStr">
        <is>
          <t>Gain moyen attendu par trade sur un grand nombre de trades.</t>
        </is>
      </c>
    </row>
    <row r="17" ht="24" customHeight="1">
      <c r="B17" s="35" t="inlineStr">
        <is>
          <t>Taux de réussite (win rate)</t>
        </is>
      </c>
      <c r="C17" s="37" t="inlineStr">
        <is>
          <t>Pourcentage de trades gagnants parmi les trades clôturés.</t>
        </is>
      </c>
    </row>
    <row r="18" ht="24" customHeight="1">
      <c r="B18" s="56" t="inlineStr">
        <is>
          <t>Profit Factor</t>
        </is>
      </c>
      <c r="C18" s="57" t="inlineStr">
        <is>
          <t>Somme des gains divisée par la somme (en valeur absolue) des pertes.</t>
        </is>
      </c>
    </row>
    <row r="19" ht="24" customHeight="1">
      <c r="B19" s="35" t="inlineStr">
        <is>
          <t>Drawdown</t>
        </is>
      </c>
      <c r="C19" s="37" t="inlineStr">
        <is>
          <t>Baisse du capital depuis son dernier plus haut.</t>
        </is>
      </c>
    </row>
    <row r="20" ht="24" customHeight="1">
      <c r="B20" s="56" t="inlineStr">
        <is>
          <t>SQN</t>
        </is>
      </c>
      <c r="C20" s="57" t="inlineStr">
        <is>
          <t>System Quality Number : mesure la qualité d'un système à partir de la moyenne et de la dispersion des R.</t>
        </is>
      </c>
    </row>
    <row r="21" ht="24" customHeight="1">
      <c r="B21" s="35" t="inlineStr">
        <is>
          <t>Critère de Kelly</t>
        </is>
      </c>
      <c r="C21" s="37" t="inlineStr">
        <is>
          <t>Formule qui donne la fraction de capital optimale à risquer ; en pratique on utilise une fraction (¼ ou ½).</t>
        </is>
      </c>
    </row>
    <row r="22" ht="24" customHeight="1">
      <c r="B22" s="56" t="inlineStr">
        <is>
          <t>Edge (avantage statistique)</t>
        </is>
      </c>
      <c r="C22" s="57" t="inlineStr">
        <is>
          <t>Avantage durable d'un système, mesuré par une espérance positive.</t>
        </is>
      </c>
    </row>
    <row r="23" ht="24" customHeight="1">
      <c r="B23" s="35" t="inlineStr">
        <is>
          <t>Risque de ruine</t>
        </is>
      </c>
      <c r="C23" s="37" t="inlineStr">
        <is>
          <t>Probabilité de perdre une part du capital telle qu'il devient impossible de continuer.</t>
        </is>
      </c>
    </row>
    <row r="24" ht="24" customHeight="1">
      <c r="B24" s="56" t="inlineStr">
        <is>
          <t>Slippage</t>
        </is>
      </c>
      <c r="C24" s="57" t="inlineStr">
        <is>
          <t>Écart entre le prix attendu et le prix d'exécution réel.</t>
        </is>
      </c>
    </row>
    <row r="25" ht="24" customHeight="1">
      <c r="B25" s="35" t="inlineStr">
        <is>
          <t>Spread</t>
        </is>
      </c>
      <c r="C25" s="37" t="inlineStr">
        <is>
          <t>Différence entre le meilleur prix d'achat et le meilleur prix de vente.</t>
        </is>
      </c>
    </row>
    <row r="26" ht="24" customHeight="1">
      <c r="B26" s="56" t="inlineStr">
        <is>
          <t>Levier</t>
        </is>
      </c>
      <c r="C26" s="57" t="inlineStr">
        <is>
          <t>Mécanisme permettant de prendre une exposition supérieure au capital engagé.</t>
        </is>
      </c>
    </row>
    <row r="27" ht="24" customHeight="1">
      <c r="B27" s="35" t="inlineStr">
        <is>
          <t>Marge</t>
        </is>
      </c>
      <c r="C27" s="37" t="inlineStr">
        <is>
          <t>Garantie bloquée pour maintenir une position à effet de levier.</t>
        </is>
      </c>
    </row>
    <row r="28" ht="24" customHeight="1">
      <c r="B28" s="56" t="inlineStr">
        <is>
          <t>Liquidation</t>
        </is>
      </c>
      <c r="C28" s="57" t="inlineStr">
        <is>
          <t>Clôture forcée d'une position lorsque la marge devient insuffisante.</t>
        </is>
      </c>
    </row>
    <row r="29" ht="24" customHeight="1">
      <c r="B29" s="35" t="inlineStr">
        <is>
          <t>Funding rate</t>
        </is>
      </c>
      <c r="C29" s="37" t="inlineStr">
        <is>
          <t>Paiement périodique entre longs et shorts sur les contrats perpétuels.</t>
        </is>
      </c>
    </row>
    <row r="30" ht="24" customHeight="1">
      <c r="B30" s="56" t="inlineStr">
        <is>
          <t>Open interest</t>
        </is>
      </c>
      <c r="C30" s="57" t="inlineStr">
        <is>
          <t>Nombre total de contrats dérivés ouverts à un instant donné.</t>
        </is>
      </c>
    </row>
    <row r="31" ht="24" customHeight="1">
      <c r="B31" s="35" t="inlineStr">
        <is>
          <t>Support</t>
        </is>
      </c>
      <c r="C31" s="37" t="inlineStr">
        <is>
          <t>Zone de prix où la demande a historiquement stoppé les baisses.</t>
        </is>
      </c>
    </row>
    <row r="32" ht="24" customHeight="1">
      <c r="B32" s="56" t="inlineStr">
        <is>
          <t>Résistance</t>
        </is>
      </c>
      <c r="C32" s="57" t="inlineStr">
        <is>
          <t>Zone de prix où l'offre a historiquement stoppé les hausses.</t>
        </is>
      </c>
    </row>
    <row r="33" ht="24" customHeight="1">
      <c r="B33" s="35" t="inlineStr">
        <is>
          <t>Tendance</t>
        </is>
      </c>
      <c r="C33" s="37" t="inlineStr">
        <is>
          <t>Direction générale du prix : suite de plus hauts / plus bas (haussière) ou inverse (baissière).</t>
        </is>
      </c>
    </row>
    <row r="34" ht="24" customHeight="1">
      <c r="B34" s="56" t="inlineStr">
        <is>
          <t>Range</t>
        </is>
      </c>
      <c r="C34" s="57" t="inlineStr">
        <is>
          <t>Phase où le prix oscille entre un support et une résistance sans tendance.</t>
        </is>
      </c>
    </row>
    <row r="35" ht="24" customHeight="1">
      <c r="B35" s="35" t="inlineStr">
        <is>
          <t>Breakout</t>
        </is>
      </c>
      <c r="C35" s="37" t="inlineStr">
        <is>
          <t>Cassure d'un niveau de support ou de résistance.</t>
        </is>
      </c>
    </row>
    <row r="36" ht="24" customHeight="1">
      <c r="B36" s="56" t="inlineStr">
        <is>
          <t>Fausse cassure (fakeout)</t>
        </is>
      </c>
      <c r="C36" s="57" t="inlineStr">
        <is>
          <t>Cassure qui échoue et revient dans le range d'origine.</t>
        </is>
      </c>
    </row>
    <row r="37" ht="24" customHeight="1">
      <c r="B37" s="35" t="inlineStr">
        <is>
          <t>Pullback</t>
        </is>
      </c>
      <c r="C37" s="37" t="inlineStr">
        <is>
          <t>Repli temporaire contre la tendance avant sa reprise.</t>
        </is>
      </c>
    </row>
    <row r="38" ht="24" customHeight="1">
      <c r="B38" s="56" t="inlineStr">
        <is>
          <t>Retest</t>
        </is>
      </c>
      <c r="C38" s="57" t="inlineStr">
        <is>
          <t>Retour du prix sur un niveau récemment cassé pour le tester.</t>
        </is>
      </c>
    </row>
    <row r="39" ht="24" customHeight="1">
      <c r="B39" s="35" t="inlineStr">
        <is>
          <t>Moyenne mobile (MM)</t>
        </is>
      </c>
      <c r="C39" s="37" t="inlineStr">
        <is>
          <t>Moyenne du prix sur N périodes qui lisse le mouvement.</t>
        </is>
      </c>
    </row>
    <row r="40" ht="24" customHeight="1">
      <c r="B40" s="56" t="inlineStr">
        <is>
          <t>EMA / SMA</t>
        </is>
      </c>
      <c r="C40" s="57" t="inlineStr">
        <is>
          <t>Moyenne mobile exponentielle (plus réactive) / simple.</t>
        </is>
      </c>
    </row>
    <row r="41" ht="24" customHeight="1">
      <c r="B41" s="35" t="inlineStr">
        <is>
          <t>RSI</t>
        </is>
      </c>
      <c r="C41" s="37" t="inlineStr">
        <is>
          <t>Relative Strength Index : oscillateur de momentum de 0 à 100.</t>
        </is>
      </c>
    </row>
    <row r="42" ht="24" customHeight="1">
      <c r="B42" s="56" t="inlineStr">
        <is>
          <t>MACD</t>
        </is>
      </c>
      <c r="C42" s="57" t="inlineStr">
        <is>
          <t>Indicateur de tendance et de momentum basé sur deux moyennes mobiles.</t>
        </is>
      </c>
    </row>
    <row r="43" ht="24" customHeight="1">
      <c r="B43" s="35" t="inlineStr">
        <is>
          <t>ATR</t>
        </is>
      </c>
      <c r="C43" s="37" t="inlineStr">
        <is>
          <t>Average True Range : volatilité moyenne par bougie.</t>
        </is>
      </c>
    </row>
    <row r="44" ht="24" customHeight="1">
      <c r="B44" s="56" t="inlineStr">
        <is>
          <t>VWAP</t>
        </is>
      </c>
      <c r="C44" s="57" t="inlineStr">
        <is>
          <t>Prix moyen pondéré par le volume.</t>
        </is>
      </c>
    </row>
    <row r="45" ht="24" customHeight="1">
      <c r="B45" s="35" t="inlineStr">
        <is>
          <t>Bandes de Bollinger</t>
        </is>
      </c>
      <c r="C45" s="37" t="inlineStr">
        <is>
          <t>Enveloppes situées à N écarts-types d'une moyenne mobile.</t>
        </is>
      </c>
    </row>
    <row r="46" ht="24" customHeight="1">
      <c r="B46" s="56" t="inlineStr">
        <is>
          <t>Fibonacci</t>
        </is>
      </c>
      <c r="C46" s="57" t="inlineStr">
        <is>
          <t>Outil de niveaux de repli / extension basé sur des ratios (38,2 % ; 50 % ; 61,8 %…).</t>
        </is>
      </c>
    </row>
    <row r="47" ht="24" customHeight="1">
      <c r="B47" s="35" t="inlineStr">
        <is>
          <t>Ordre au marché</t>
        </is>
      </c>
      <c r="C47" s="37" t="inlineStr">
        <is>
          <t>Ordre exécuté immédiatement au meilleur prix disponible.</t>
        </is>
      </c>
    </row>
    <row r="48" ht="24" customHeight="1">
      <c r="B48" s="56" t="inlineStr">
        <is>
          <t>Ordre limite</t>
        </is>
      </c>
      <c r="C48" s="57" t="inlineStr">
        <is>
          <t>Ordre exécuté seulement au prix fixé ou à un meilleur prix.</t>
        </is>
      </c>
    </row>
    <row r="49" ht="24" customHeight="1">
      <c r="B49" s="35" t="inlineStr">
        <is>
          <t>Ordre stop</t>
        </is>
      </c>
      <c r="C49" s="37" t="inlineStr">
        <is>
          <t>Ordre qui se déclenche lorsque le prix atteint un seuil.</t>
        </is>
      </c>
    </row>
    <row r="50" ht="24" customHeight="1">
      <c r="B50" s="56" t="inlineStr">
        <is>
          <t>OCO</t>
        </is>
      </c>
      <c r="C50" s="57" t="inlineStr">
        <is>
          <t>One Cancels the Other : deux ordres liés, l'exécution de l'un annule l'autre.</t>
        </is>
      </c>
    </row>
    <row r="51" ht="24" customHeight="1">
      <c r="B51" s="35" t="inlineStr">
        <is>
          <t>Trailing stop</t>
        </is>
      </c>
      <c r="C51" s="37" t="inlineStr">
        <is>
          <t>Stop qui suit le prix à distance fixe lorsque le trade évolue favorablement.</t>
        </is>
      </c>
    </row>
    <row r="52" ht="24" customHeight="1">
      <c r="B52" s="56" t="inlineStr">
        <is>
          <t>Break-even</t>
        </is>
      </c>
      <c r="C52" s="57" t="inlineStr">
        <is>
          <t>Déplacement du stop au prix d'entrée pour supprimer le risque de perte.</t>
        </is>
      </c>
    </row>
    <row r="53" ht="24" customHeight="1">
      <c r="B53" s="35" t="inlineStr">
        <is>
          <t>Scale in / out</t>
        </is>
      </c>
      <c r="C53" s="37" t="inlineStr">
        <is>
          <t>Entrer ou sortir progressivement en plusieurs ordres.</t>
        </is>
      </c>
    </row>
    <row r="54" ht="24" customHeight="1">
      <c r="B54" s="56" t="inlineStr">
        <is>
          <t>Pyramidage</t>
        </is>
      </c>
      <c r="C54" s="57" t="inlineStr">
        <is>
          <t>Ajout à une position gagnante, avec une taille décroissante.</t>
        </is>
      </c>
    </row>
    <row r="55" ht="24" customHeight="1">
      <c r="B55" s="35" t="inlineStr">
        <is>
          <t>Corrélation</t>
        </is>
      </c>
      <c r="C55" s="37" t="inlineStr">
        <is>
          <t>Tendance de deux actifs à évoluer ensemble.</t>
        </is>
      </c>
    </row>
    <row r="56" ht="24" customHeight="1">
      <c r="B56" s="56" t="inlineStr">
        <is>
          <t>Volatilité</t>
        </is>
      </c>
      <c r="C56" s="57" t="inlineStr">
        <is>
          <t>Amplitude des variations de prix.</t>
        </is>
      </c>
    </row>
    <row r="57" ht="24" customHeight="1">
      <c r="B57" s="35" t="inlineStr">
        <is>
          <t>Liquidité</t>
        </is>
      </c>
      <c r="C57" s="37" t="inlineStr">
        <is>
          <t>Facilité à acheter ou vendre sans déplacer le prix.</t>
        </is>
      </c>
    </row>
    <row r="58" ht="24" customHeight="1">
      <c r="B58" s="56" t="inlineStr">
        <is>
          <t>Bull market / Bear market</t>
        </is>
      </c>
      <c r="C58" s="57" t="inlineStr">
        <is>
          <t>Marché haussier / marché baissier.</t>
        </is>
      </c>
    </row>
    <row r="59" ht="24" customHeight="1">
      <c r="B59" s="35" t="inlineStr">
        <is>
          <t>Divergence</t>
        </is>
      </c>
      <c r="C59" s="37" t="inlineStr">
        <is>
          <t>Désaccord entre le prix et un indicateur, signe d'affaiblissement.</t>
        </is>
      </c>
    </row>
    <row r="60" ht="24" customHeight="1">
      <c r="B60" s="56" t="inlineStr">
        <is>
          <t>Confluence</t>
        </is>
      </c>
      <c r="C60" s="57" t="inlineStr">
        <is>
          <t>Superposition de plusieurs éléments techniques sur une même zone.</t>
        </is>
      </c>
    </row>
    <row r="61" ht="24" customHeight="1">
      <c r="B61" s="35" t="inlineStr">
        <is>
          <t>Backtest</t>
        </is>
      </c>
      <c r="C61" s="37" t="inlineStr">
        <is>
          <t>Test d'une stratégie sur des données historiques.</t>
        </is>
      </c>
    </row>
    <row r="62" ht="24" customHeight="1">
      <c r="B62" s="56" t="inlineStr">
        <is>
          <t>Forward test</t>
        </is>
      </c>
      <c r="C62" s="57" t="inlineStr">
        <is>
          <t>Test d'une stratégie en conditions réelles, avec petite taille ou en papier.</t>
        </is>
      </c>
    </row>
    <row r="63" ht="24" customHeight="1">
      <c r="B63" s="35" t="inlineStr">
        <is>
          <t>Overfitting</t>
        </is>
      </c>
      <c r="C63" s="37" t="inlineStr">
        <is>
          <t>Sur-optimisation d'une stratégie sur le passé, qui la rend fragile dans le futur.</t>
        </is>
      </c>
    </row>
    <row r="64" ht="24" customHeight="1">
      <c r="B64" s="56" t="inlineStr">
        <is>
          <t>Timeframe</t>
        </is>
      </c>
      <c r="C64" s="57" t="inlineStr">
        <is>
          <t>Unité de temps d'un graphique (1H, 4H, 1D, 1W…).</t>
        </is>
      </c>
    </row>
    <row r="65" ht="24" customHeight="1">
      <c r="B65" s="35" t="inlineStr">
        <is>
          <t>Chandelier japonais</t>
        </is>
      </c>
      <c r="C65" s="37" t="inlineStr">
        <is>
          <t>Représentation de l'ouverture, du plus haut, du plus bas et de la clôture d'une période.</t>
        </is>
      </c>
    </row>
    <row r="66" ht="24" customHeight="1">
      <c r="B66" s="56" t="inlineStr">
        <is>
          <t>Mèche (ombre)</t>
        </is>
      </c>
      <c r="C66" s="57" t="inlineStr">
        <is>
          <t>Partie fine d'un chandelier indiquant les extrêmes de la période.</t>
        </is>
      </c>
    </row>
    <row r="67" ht="24" customHeight="1">
      <c r="B67" s="35" t="inlineStr">
        <is>
          <t>Gap</t>
        </is>
      </c>
      <c r="C67" s="37" t="inlineStr">
        <is>
          <t>Écart de prix entre la clôture d'une période et l'ouverture de la suivante.</t>
        </is>
      </c>
    </row>
    <row r="68" ht="24" customHeight="1">
      <c r="B68" s="56" t="inlineStr">
        <is>
          <t>Consolidation</t>
        </is>
      </c>
      <c r="C68" s="57" t="inlineStr">
        <is>
          <t>Phase de pause où le prix évolue dans un intervalle restreint.</t>
        </is>
      </c>
    </row>
    <row r="69" ht="24" customHeight="1">
      <c r="B69" s="35" t="inlineStr">
        <is>
          <t>Impulsion</t>
        </is>
      </c>
      <c r="C69" s="37" t="inlineStr">
        <is>
          <t>Mouvement directionnel rapide et ample.</t>
        </is>
      </c>
    </row>
    <row r="70" ht="24" customHeight="1">
      <c r="B70" s="56" t="inlineStr">
        <is>
          <t>Squeeze</t>
        </is>
      </c>
      <c r="C70" s="57" t="inlineStr">
        <is>
          <t>Contraction de volatilité ou liquidation forcée de positions à contre-courant.</t>
        </is>
      </c>
    </row>
    <row r="71" ht="24" customHeight="1">
      <c r="B71" s="35" t="inlineStr">
        <is>
          <t>Capitulation</t>
        </is>
      </c>
      <c r="C71" s="37" t="inlineStr">
        <is>
          <t>Phase de vente paniquée avec volume très élevé.</t>
        </is>
      </c>
    </row>
    <row r="72" ht="24" customHeight="1">
      <c r="B72" s="56" t="inlineStr">
        <is>
          <t>Overtrading</t>
        </is>
      </c>
      <c r="C72" s="57" t="inlineStr">
        <is>
          <t>Excès de trades qui dégrade la qualité des décisions et augmente les frais.</t>
        </is>
      </c>
    </row>
    <row r="73" ht="24" customHeight="1">
      <c r="B73" s="35" t="inlineStr">
        <is>
          <t>Revenge trading</t>
        </is>
      </c>
      <c r="C73" s="37" t="inlineStr">
        <is>
          <t>Trade impulsif destiné à récupérer une perte.</t>
        </is>
      </c>
    </row>
    <row r="74" ht="24" customHeight="1">
      <c r="B74" s="56" t="inlineStr">
        <is>
          <t>FOMO</t>
        </is>
      </c>
      <c r="C74" s="57" t="inlineStr">
        <is>
          <t>Fear Of Missing Out : peur de rater un mouvement.</t>
        </is>
      </c>
    </row>
  </sheetData>
  <mergeCells count="1">
    <mergeCell ref="B2:C2"/>
  </mergeCells>
  <hyperlinks>
    <hyperlink ref="B2" location="'Accueil'!A1" display="Accueil"/>
  </hyperlinks>
  <printOptions horizontalCentered="1"/>
  <pageMargins left="0.75" right="0.75" top="1" bottom="1" header="0.5" footer="0.5"/>
  <pageSetup orientation="landscape" fitToHeight="0" fitToWidth="1"/>
</worksheet>
</file>

<file path=xl/worksheets/sheet20.xml><?xml version="1.0" encoding="utf-8"?>
<worksheet xmlns="http://schemas.openxmlformats.org/spreadsheetml/2006/main">
  <sheetPr>
    <tabColor rgb="0064748B"/>
    <outlinePr summaryBelow="1" summaryRight="1"/>
    <pageSetUpPr fitToPage="1"/>
  </sheetPr>
  <dimension ref="A1:I2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</cols>
  <sheetData>
    <row r="1" ht="22" customHeight="1">
      <c r="A1" s="1" t="n"/>
      <c r="B1" s="2">
        <f>'Paramètres'!$C$7</f>
        <v/>
      </c>
      <c r="C1" s="1" t="n"/>
      <c r="D1" s="1" t="n"/>
      <c r="E1" s="1" t="n"/>
      <c r="F1" s="1" t="n"/>
      <c r="G1" s="1" t="n"/>
      <c r="H1" s="1" t="n"/>
      <c r="I1" s="1" t="n"/>
    </row>
    <row r="2" ht="30" customHeight="1">
      <c r="A2" s="1" t="n"/>
      <c r="B2" s="32" t="inlineStr">
        <is>
          <t>Listes</t>
        </is>
      </c>
      <c r="C2" s="1" t="n"/>
      <c r="D2" s="1" t="n"/>
      <c r="E2" s="1" t="n"/>
      <c r="F2" s="1" t="n"/>
      <c r="G2" s="1" t="n"/>
      <c r="H2" s="33" t="inlineStr">
        <is>
          <t>← Accueil</t>
        </is>
      </c>
      <c r="I2" s="1" t="n"/>
    </row>
    <row r="3" ht="18" customHeight="1">
      <c r="A3" s="1" t="n"/>
      <c r="B3" s="4" t="inlineStr">
        <is>
          <t>Personnalise les listes bleues : elles alimentent les menus déroulants du Journal et les tableaux d'Analyse.</t>
        </is>
      </c>
      <c r="C3" s="1" t="n"/>
      <c r="D3" s="1" t="n"/>
      <c r="E3" s="1" t="n"/>
      <c r="F3" s="1" t="n"/>
      <c r="G3" s="1" t="n"/>
      <c r="H3" s="1" t="n"/>
      <c r="I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</row>
    <row r="5" ht="34" customHeight="1">
      <c r="B5" s="83" t="inlineStr">
        <is>
          <t>Setups (10 premiers analysés)</t>
        </is>
      </c>
      <c r="C5" s="83" t="inlineStr">
        <is>
          <t>Timeframes (7 premiers analysés)</t>
        </is>
      </c>
      <c r="D5" s="83" t="inlineStr">
        <is>
          <t>Émotions (8 premières analysées)</t>
        </is>
      </c>
      <c r="E5" s="83" t="inlineStr">
        <is>
          <t>Erreurs (12 premières analysées)</t>
        </is>
      </c>
      <c r="F5" s="83" t="inlineStr">
        <is>
          <t>Actifs (12 premiers analysés)</t>
        </is>
      </c>
      <c r="G5" s="83" t="inlineStr">
        <is>
          <t>Direction</t>
        </is>
      </c>
      <c r="H5" s="83" t="inlineStr">
        <is>
          <t>Respect du plan</t>
        </is>
      </c>
      <c r="I5" s="83" t="inlineStr">
        <is>
          <t>Statut watchlist</t>
        </is>
      </c>
    </row>
    <row r="6">
      <c r="B6" s="105" t="inlineStr">
        <is>
          <t>Breakout</t>
        </is>
      </c>
      <c r="C6" s="105" t="inlineStr">
        <is>
          <t>1W</t>
        </is>
      </c>
      <c r="D6" s="105" t="inlineStr">
        <is>
          <t>Calme</t>
        </is>
      </c>
      <c r="E6" s="105" t="inlineStr">
        <is>
          <t>Aucune</t>
        </is>
      </c>
      <c r="F6" s="105" t="inlineStr">
        <is>
          <t>BTC/USDT</t>
        </is>
      </c>
      <c r="G6" s="225" t="inlineStr">
        <is>
          <t>Long</t>
        </is>
      </c>
      <c r="H6" s="225" t="inlineStr">
        <is>
          <t>Oui</t>
        </is>
      </c>
      <c r="I6" s="225" t="inlineStr">
        <is>
          <t>À surveiller</t>
        </is>
      </c>
    </row>
    <row r="7">
      <c r="B7" s="105" t="inlineStr">
        <is>
          <t>Pullback / Retracement</t>
        </is>
      </c>
      <c r="C7" s="105" t="inlineStr">
        <is>
          <t>1D</t>
        </is>
      </c>
      <c r="D7" s="105" t="inlineStr">
        <is>
          <t>Confiant</t>
        </is>
      </c>
      <c r="E7" s="105" t="inlineStr">
        <is>
          <t>Entrée trop tôt</t>
        </is>
      </c>
      <c r="F7" s="105" t="inlineStr">
        <is>
          <t>ETH/USDT</t>
        </is>
      </c>
      <c r="G7" s="225" t="inlineStr">
        <is>
          <t>Short</t>
        </is>
      </c>
      <c r="H7" s="225" t="inlineStr">
        <is>
          <t>Non</t>
        </is>
      </c>
      <c r="I7" s="225" t="inlineStr">
        <is>
          <t>Prêt</t>
        </is>
      </c>
    </row>
    <row r="8">
      <c r="B8" s="105" t="inlineStr">
        <is>
          <t>Retest support-résistance</t>
        </is>
      </c>
      <c r="C8" s="105" t="inlineStr">
        <is>
          <t>4H</t>
        </is>
      </c>
      <c r="D8" s="105" t="inlineStr">
        <is>
          <t>Impatient</t>
        </is>
      </c>
      <c r="E8" s="105" t="inlineStr">
        <is>
          <t>Entrée tardive (FOMO)</t>
        </is>
      </c>
      <c r="F8" s="105" t="inlineStr">
        <is>
          <t>SOL/USDT</t>
        </is>
      </c>
      <c r="G8" s="225" t="n"/>
      <c r="H8" s="225" t="n"/>
      <c r="I8" s="225" t="inlineStr">
        <is>
          <t>Entré</t>
        </is>
      </c>
    </row>
    <row r="9">
      <c r="B9" s="105" t="inlineStr">
        <is>
          <t>Retournement (double top/bottom)</t>
        </is>
      </c>
      <c r="C9" s="105" t="inlineStr">
        <is>
          <t>1H</t>
        </is>
      </c>
      <c r="D9" s="105" t="inlineStr">
        <is>
          <t>FOMO</t>
        </is>
      </c>
      <c r="E9" s="105" t="inlineStr">
        <is>
          <t>Stop déplacé</t>
        </is>
      </c>
      <c r="F9" s="105" t="inlineStr">
        <is>
          <t>BNB/USDT</t>
        </is>
      </c>
      <c r="G9" s="225" t="n"/>
      <c r="H9" s="225" t="n"/>
      <c r="I9" s="225" t="inlineStr">
        <is>
          <t>Invalidé</t>
        </is>
      </c>
    </row>
    <row r="10">
      <c r="B10" s="105" t="inlineStr">
        <is>
          <t>Continuation de tendance</t>
        </is>
      </c>
      <c r="C10" s="105" t="inlineStr">
        <is>
          <t>30m</t>
        </is>
      </c>
      <c r="D10" s="105" t="inlineStr">
        <is>
          <t>Peur</t>
        </is>
      </c>
      <c r="E10" s="105" t="inlineStr">
        <is>
          <t>Sortie prématurée</t>
        </is>
      </c>
      <c r="F10" s="105" t="inlineStr">
        <is>
          <t>XRP/USDT</t>
        </is>
      </c>
      <c r="G10" s="225" t="n"/>
      <c r="H10" s="225" t="n"/>
      <c r="I10" s="225" t="n"/>
    </row>
    <row r="11">
      <c r="B11" s="105" t="inlineStr">
        <is>
          <t>Range (rebond bas/haut)</t>
        </is>
      </c>
      <c r="C11" s="105" t="inlineStr">
        <is>
          <t>15m</t>
        </is>
      </c>
      <c r="D11" s="105" t="inlineStr">
        <is>
          <t>Euphorique</t>
        </is>
      </c>
      <c r="E11" s="105" t="inlineStr">
        <is>
          <t>Sortie tardive</t>
        </is>
      </c>
      <c r="F11" s="105" t="inlineStr">
        <is>
          <t>ADA/USDT</t>
        </is>
      </c>
      <c r="G11" s="225" t="n"/>
      <c r="H11" s="225" t="n"/>
      <c r="I11" s="225" t="n"/>
    </row>
    <row r="12">
      <c r="B12" s="105" t="inlineStr">
        <is>
          <t>Flag / Pennant</t>
        </is>
      </c>
      <c r="C12" s="105" t="inlineStr">
        <is>
          <t>Autre</t>
        </is>
      </c>
      <c r="D12" s="105" t="inlineStr">
        <is>
          <t>Revanche</t>
        </is>
      </c>
      <c r="E12" s="105" t="inlineStr">
        <is>
          <t>Taille trop grande</t>
        </is>
      </c>
      <c r="F12" s="105" t="inlineStr">
        <is>
          <t>AVAX/USDT</t>
        </is>
      </c>
      <c r="G12" s="225" t="n"/>
      <c r="H12" s="225" t="n"/>
      <c r="I12" s="225" t="n"/>
    </row>
    <row r="13">
      <c r="B13" s="105" t="inlineStr">
        <is>
          <t>Divergence RSI / MACD</t>
        </is>
      </c>
      <c r="C13" s="105" t="n"/>
      <c r="D13" s="105" t="inlineStr">
        <is>
          <t>Hésitant</t>
        </is>
      </c>
      <c r="E13" s="105" t="inlineStr">
        <is>
          <t>Overtrading</t>
        </is>
      </c>
      <c r="F13" s="105" t="inlineStr">
        <is>
          <t>LINK/USDT</t>
        </is>
      </c>
      <c r="G13" s="225" t="n"/>
      <c r="H13" s="225" t="n"/>
      <c r="I13" s="225" t="n"/>
    </row>
    <row r="14">
      <c r="B14" s="105" t="inlineStr">
        <is>
          <t>Cassure de trendline</t>
        </is>
      </c>
      <c r="C14" s="105" t="n"/>
      <c r="D14" s="105" t="n"/>
      <c r="E14" s="105" t="inlineStr">
        <is>
          <t>Pas de plan</t>
        </is>
      </c>
      <c r="F14" s="105" t="inlineStr">
        <is>
          <t>DOT/USDT</t>
        </is>
      </c>
      <c r="G14" s="225" t="n"/>
      <c r="H14" s="225" t="n"/>
      <c r="I14" s="225" t="n"/>
    </row>
    <row r="15">
      <c r="B15" s="105" t="inlineStr">
        <is>
          <t>Autre</t>
        </is>
      </c>
      <c r="C15" s="105" t="n"/>
      <c r="D15" s="105" t="n"/>
      <c r="E15" s="105" t="inlineStr">
        <is>
          <t>Revenge trading</t>
        </is>
      </c>
      <c r="F15" s="105" t="inlineStr">
        <is>
          <t>ATOM/USDT</t>
        </is>
      </c>
      <c r="G15" s="225" t="n"/>
      <c r="H15" s="225" t="n"/>
      <c r="I15" s="225" t="n"/>
    </row>
    <row r="16">
      <c r="B16" s="105" t="n"/>
      <c r="C16" s="105" t="n"/>
      <c r="D16" s="105" t="n"/>
      <c r="E16" s="105" t="inlineStr">
        <is>
          <t>Contre la tendance</t>
        </is>
      </c>
      <c r="F16" s="105" t="inlineStr">
        <is>
          <t>NEAR/USDT</t>
        </is>
      </c>
      <c r="G16" s="225" t="n"/>
      <c r="H16" s="225" t="n"/>
      <c r="I16" s="225" t="n"/>
    </row>
    <row r="17">
      <c r="B17" s="105" t="n"/>
      <c r="C17" s="105" t="n"/>
      <c r="D17" s="105" t="n"/>
      <c r="E17" s="105" t="inlineStr">
        <is>
          <t>Autre</t>
        </is>
      </c>
      <c r="F17" s="105" t="inlineStr">
        <is>
          <t>DOGE/USDT</t>
        </is>
      </c>
      <c r="G17" s="225" t="n"/>
      <c r="H17" s="225" t="n"/>
      <c r="I17" s="225" t="n"/>
    </row>
    <row r="18">
      <c r="B18" s="105" t="n"/>
      <c r="C18" s="105" t="n"/>
      <c r="D18" s="105" t="n"/>
      <c r="E18" s="105" t="n"/>
      <c r="F18" s="105" t="n"/>
      <c r="G18" s="225" t="n"/>
      <c r="H18" s="225" t="n"/>
      <c r="I18" s="225" t="n"/>
    </row>
    <row r="19">
      <c r="B19" s="105" t="n"/>
      <c r="C19" s="105" t="n"/>
      <c r="D19" s="105" t="n"/>
      <c r="E19" s="105" t="n"/>
      <c r="F19" s="105" t="n"/>
      <c r="G19" s="225" t="n"/>
      <c r="H19" s="225" t="n"/>
      <c r="I19" s="225" t="n"/>
    </row>
    <row r="20">
      <c r="B20" s="105" t="n"/>
      <c r="C20" s="105" t="n"/>
      <c r="D20" s="105" t="n"/>
      <c r="E20" s="105" t="n"/>
      <c r="F20" s="105" t="n"/>
      <c r="G20" s="225" t="n"/>
      <c r="H20" s="225" t="n"/>
      <c r="I20" s="225" t="n"/>
    </row>
    <row r="21">
      <c r="B21" s="105" t="n"/>
      <c r="C21" s="105" t="n"/>
      <c r="D21" s="105" t="n"/>
      <c r="E21" s="105" t="n"/>
      <c r="F21" s="105" t="n"/>
      <c r="G21" s="225" t="n"/>
      <c r="H21" s="225" t="n"/>
      <c r="I21" s="225" t="n"/>
    </row>
    <row r="22">
      <c r="B22" s="105" t="n"/>
      <c r="C22" s="105" t="n"/>
      <c r="D22" s="105" t="n"/>
      <c r="E22" s="105" t="n"/>
      <c r="F22" s="105" t="n"/>
      <c r="G22" s="225" t="n"/>
      <c r="H22" s="225" t="n"/>
      <c r="I22" s="225" t="n"/>
    </row>
    <row r="23">
      <c r="B23" s="105" t="n"/>
      <c r="C23" s="105" t="n"/>
      <c r="D23" s="105" t="n"/>
      <c r="E23" s="105" t="n"/>
      <c r="F23" s="105" t="n"/>
      <c r="G23" s="225" t="n"/>
      <c r="H23" s="225" t="n"/>
      <c r="I23" s="225" t="n"/>
    </row>
    <row r="24">
      <c r="B24" s="105" t="n"/>
      <c r="C24" s="105" t="n"/>
      <c r="D24" s="105" t="n"/>
      <c r="E24" s="105" t="n"/>
      <c r="F24" s="105" t="n"/>
      <c r="G24" s="225" t="n"/>
      <c r="H24" s="225" t="n"/>
      <c r="I24" s="225" t="n"/>
    </row>
    <row r="25">
      <c r="B25" s="105" t="n"/>
      <c r="C25" s="105" t="n"/>
      <c r="D25" s="105" t="n"/>
      <c r="E25" s="105" t="n"/>
      <c r="F25" s="105" t="n"/>
      <c r="G25" s="225" t="n"/>
      <c r="H25" s="225" t="n"/>
      <c r="I25" s="225" t="n"/>
    </row>
  </sheetData>
  <mergeCells count="1">
    <mergeCell ref="H2:I2"/>
  </mergeCells>
  <hyperlinks>
    <hyperlink ref="H2" location="'Accueil'!A1" display="Accueil"/>
  </hyperlinks>
  <printOptions horizontalCentered="1"/>
  <pageMargins left="0.75" right="0.75" top="1" bottom="1" header="0.5" footer="0.5"/>
  <pageSetup orientation="landscape" fitToHeight="0" fitToWidth="1"/>
</worksheet>
</file>

<file path=xl/worksheets/sheet21.xml><?xml version="1.0" encoding="utf-8"?>
<worksheet xmlns="http://schemas.openxmlformats.org/spreadsheetml/2006/main">
  <sheetPr>
    <tabColor rgb="0094A3B8"/>
    <outlinePr summaryBelow="1" summaryRight="1"/>
    <pageSetUpPr/>
  </sheetPr>
  <dimension ref="A1:V166"/>
  <sheetViews>
    <sheetView tabSelected="0"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8" customWidth="1" min="3" max="3"/>
    <col width="10" customWidth="1" min="4" max="4"/>
    <col width="14" customWidth="1" min="5" max="5"/>
    <col width="14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3" customWidth="1" min="12" max="12"/>
    <col width="8" customWidth="1" min="13" max="13"/>
    <col width="10" customWidth="1" min="14" max="14"/>
    <col width="8" customWidth="1" min="15" max="15"/>
    <col width="10" customWidth="1" min="16" max="16"/>
    <col width="10" customWidth="1" min="17" max="17"/>
    <col width="10" customWidth="1" min="18" max="18"/>
    <col width="10" customWidth="1" min="19" max="19"/>
    <col width="3" customWidth="1" min="20" max="20"/>
    <col width="14" customWidth="1" min="21" max="21"/>
    <col width="12" customWidth="1" min="22" max="22"/>
    <col width="12" customWidth="1" min="23" max="23"/>
  </cols>
  <sheetData>
    <row r="1">
      <c r="A1" s="226" t="inlineStr">
        <is>
          <t>Données internes des graphiques — ne pas modifier</t>
        </is>
      </c>
    </row>
    <row r="2">
      <c r="A2" t="inlineStr">
        <is>
          <t>Dernière ligne</t>
        </is>
      </c>
      <c r="B2">
        <f>'Analyse'!$C$30</f>
        <v/>
      </c>
    </row>
    <row r="3">
      <c r="A3" t="inlineStr">
        <is>
          <t>Début fenêtre</t>
        </is>
      </c>
      <c r="B3">
        <f>MAX(1,B2-59)</f>
        <v/>
      </c>
      <c r="M3" t="inlineStr">
        <is>
          <t>nb</t>
        </is>
      </c>
      <c r="N3">
        <f>COUNT('Check-in'!$B$12:$B$131)</f>
        <v/>
      </c>
    </row>
    <row r="4">
      <c r="M4" t="inlineStr">
        <is>
          <t>Check-in</t>
        </is>
      </c>
    </row>
    <row r="5">
      <c r="A5" s="227" t="inlineStr">
        <is>
          <t>k</t>
        </is>
      </c>
      <c r="B5" s="227" t="inlineStr">
        <is>
          <t>pos</t>
        </is>
      </c>
      <c r="C5" s="227" t="inlineStr">
        <is>
          <t>valide</t>
        </is>
      </c>
      <c r="D5" s="227" t="inlineStr">
        <is>
          <t>n°</t>
        </is>
      </c>
      <c r="E5" s="227" t="inlineStr">
        <is>
          <t>capital</t>
        </is>
      </c>
      <c r="F5" s="227" t="inlineStr">
        <is>
          <t>pic</t>
        </is>
      </c>
      <c r="G5" s="227" t="inlineStr">
        <is>
          <t>drawdown</t>
        </is>
      </c>
      <c r="H5" s="227" t="inlineStr">
        <is>
          <t>P&amp;L</t>
        </is>
      </c>
      <c r="I5" s="227" t="inlineStr">
        <is>
          <t>gain</t>
        </is>
      </c>
      <c r="J5" s="227" t="inlineStr">
        <is>
          <t>perte</t>
        </is>
      </c>
      <c r="K5" s="227" t="inlineStr">
        <is>
          <t>départ</t>
        </is>
      </c>
      <c r="M5" s="227" t="inlineStr">
        <is>
          <t>k</t>
        </is>
      </c>
      <c r="N5" s="227" t="inlineStr">
        <is>
          <t>pos</t>
        </is>
      </c>
      <c r="O5" s="227" t="inlineStr">
        <is>
          <t>valide</t>
        </is>
      </c>
      <c r="P5" s="227" t="inlineStr">
        <is>
          <t>date</t>
        </is>
      </c>
      <c r="Q5" s="227" t="inlineStr">
        <is>
          <t>humeur</t>
        </is>
      </c>
      <c r="R5" s="227" t="inlineStr">
        <is>
          <t>discipline</t>
        </is>
      </c>
      <c r="S5" s="227" t="inlineStr">
        <is>
          <t>énergie</t>
        </is>
      </c>
      <c r="U5" t="inlineStr">
        <is>
          <t>Résultat</t>
        </is>
      </c>
      <c r="V5" t="inlineStr">
        <is>
          <t>Trades</t>
        </is>
      </c>
    </row>
    <row r="6">
      <c r="A6" t="n">
        <v>1</v>
      </c>
      <c r="B6">
        <f>$B$3+A6-1</f>
        <v/>
      </c>
      <c r="C6">
        <f>IF(AND($B$2&gt;0,B6&lt;=$B$2),1,0)</f>
        <v/>
      </c>
      <c r="D6">
        <f>IF(C6=1,INDEX('Journal'!$A$6:$A$505,B6),"")</f>
        <v/>
      </c>
      <c r="E6">
        <f>IF($B$2=0,'Paramètres'!$C$9,'Paramètres'!$C$9+SUM('Journal'!$X$6:INDEX('Journal'!$X$6:$X$505,MIN(B6,$B$2))))</f>
        <v/>
      </c>
      <c r="F6">
        <f>IF($B$2=0,'Paramètres'!$C$9,MAX('Paramètres'!$C$9,MAX('Journal'!$AF$6:INDEX('Journal'!$AF$6:$AF$505,MIN(B6,$B$2)))))</f>
        <v/>
      </c>
      <c r="G6">
        <f>E6/F6-1</f>
        <v/>
      </c>
      <c r="H6">
        <f>IF(C6=1,N(INDEX('Journal'!$X$6:$X$505,B6)),0)</f>
        <v/>
      </c>
      <c r="I6">
        <f>MAX(H6,0)</f>
        <v/>
      </c>
      <c r="J6">
        <f>MIN(H6,0)</f>
        <v/>
      </c>
      <c r="K6">
        <f>'Paramètres'!$C$9</f>
        <v/>
      </c>
      <c r="M6" t="n">
        <v>1</v>
      </c>
      <c r="N6">
        <f>MAX(1,$N$3-29)+M6-1</f>
        <v/>
      </c>
      <c r="O6">
        <f>IF(AND($N$3&gt;0,N6&lt;=$N$3),1,0)</f>
        <v/>
      </c>
      <c r="P6" s="228">
        <f>IF(O6=1,N(INDEX('Check-in'!$B$12:$B$131,N6)),0)</f>
        <v/>
      </c>
      <c r="Q6">
        <f>IF(O6=1,N(INDEX('Check-in'!$C$12:$C$131,N6)),0)</f>
        <v/>
      </c>
      <c r="R6">
        <f>IF(O6=1,N(INDEX('Check-in'!$E$12:$E$131,N6)),0)</f>
        <v/>
      </c>
      <c r="S6">
        <f>IF(O6=1,N(INDEX('Check-in'!$D$12:$D$131,N6)),0)</f>
        <v/>
      </c>
      <c r="U6" t="inlineStr">
        <is>
          <t>Gagnants</t>
        </is>
      </c>
      <c r="V6">
        <f>'Analyse'!$C$14</f>
        <v/>
      </c>
    </row>
    <row r="7">
      <c r="A7" t="n">
        <v>2</v>
      </c>
      <c r="B7">
        <f>$B$3+A7-1</f>
        <v/>
      </c>
      <c r="C7">
        <f>IF(AND($B$2&gt;0,B7&lt;=$B$2),1,0)</f>
        <v/>
      </c>
      <c r="D7">
        <f>IF(C7=1,INDEX('Journal'!$A$6:$A$505,B7),"")</f>
        <v/>
      </c>
      <c r="E7">
        <f>IF($B$2=0,'Paramètres'!$C$9,'Paramètres'!$C$9+SUM('Journal'!$X$6:INDEX('Journal'!$X$6:$X$505,MIN(B7,$B$2))))</f>
        <v/>
      </c>
      <c r="F7">
        <f>IF($B$2=0,'Paramètres'!$C$9,MAX('Paramètres'!$C$9,MAX('Journal'!$AF$6:INDEX('Journal'!$AF$6:$AF$505,MIN(B7,$B$2)))))</f>
        <v/>
      </c>
      <c r="G7">
        <f>E7/F7-1</f>
        <v/>
      </c>
      <c r="H7">
        <f>IF(C7=1,N(INDEX('Journal'!$X$6:$X$505,B7)),0)</f>
        <v/>
      </c>
      <c r="I7">
        <f>MAX(H7,0)</f>
        <v/>
      </c>
      <c r="J7">
        <f>MIN(H7,0)</f>
        <v/>
      </c>
      <c r="K7">
        <f>'Paramètres'!$C$9</f>
        <v/>
      </c>
      <c r="M7" t="n">
        <v>2</v>
      </c>
      <c r="N7">
        <f>MAX(1,$N$3-29)+M7-1</f>
        <v/>
      </c>
      <c r="O7">
        <f>IF(AND($N$3&gt;0,N7&lt;=$N$3),1,0)</f>
        <v/>
      </c>
      <c r="P7" s="228">
        <f>IF(O7=1,N(INDEX('Check-in'!$B$12:$B$131,N7)),0)</f>
        <v/>
      </c>
      <c r="Q7">
        <f>IF(O7=1,N(INDEX('Check-in'!$C$12:$C$131,N7)),0)</f>
        <v/>
      </c>
      <c r="R7">
        <f>IF(O7=1,N(INDEX('Check-in'!$E$12:$E$131,N7)),0)</f>
        <v/>
      </c>
      <c r="S7">
        <f>IF(O7=1,N(INDEX('Check-in'!$D$12:$D$131,N7)),0)</f>
        <v/>
      </c>
      <c r="U7" t="inlineStr">
        <is>
          <t>Perdants</t>
        </is>
      </c>
      <c r="V7">
        <f>'Analyse'!$C$15</f>
        <v/>
      </c>
    </row>
    <row r="8">
      <c r="A8" t="n">
        <v>3</v>
      </c>
      <c r="B8">
        <f>$B$3+A8-1</f>
        <v/>
      </c>
      <c r="C8">
        <f>IF(AND($B$2&gt;0,B8&lt;=$B$2),1,0)</f>
        <v/>
      </c>
      <c r="D8">
        <f>IF(C8=1,INDEX('Journal'!$A$6:$A$505,B8),"")</f>
        <v/>
      </c>
      <c r="E8">
        <f>IF($B$2=0,'Paramètres'!$C$9,'Paramètres'!$C$9+SUM('Journal'!$X$6:INDEX('Journal'!$X$6:$X$505,MIN(B8,$B$2))))</f>
        <v/>
      </c>
      <c r="F8">
        <f>IF($B$2=0,'Paramètres'!$C$9,MAX('Paramètres'!$C$9,MAX('Journal'!$AF$6:INDEX('Journal'!$AF$6:$AF$505,MIN(B8,$B$2)))))</f>
        <v/>
      </c>
      <c r="G8">
        <f>E8/F8-1</f>
        <v/>
      </c>
      <c r="H8">
        <f>IF(C8=1,N(INDEX('Journal'!$X$6:$X$505,B8)),0)</f>
        <v/>
      </c>
      <c r="I8">
        <f>MAX(H8,0)</f>
        <v/>
      </c>
      <c r="J8">
        <f>MIN(H8,0)</f>
        <v/>
      </c>
      <c r="K8">
        <f>'Paramètres'!$C$9</f>
        <v/>
      </c>
      <c r="M8" t="n">
        <v>3</v>
      </c>
      <c r="N8">
        <f>MAX(1,$N$3-29)+M8-1</f>
        <v/>
      </c>
      <c r="O8">
        <f>IF(AND($N$3&gt;0,N8&lt;=$N$3),1,0)</f>
        <v/>
      </c>
      <c r="P8" s="228">
        <f>IF(O8=1,N(INDEX('Check-in'!$B$12:$B$131,N8)),0)</f>
        <v/>
      </c>
      <c r="Q8">
        <f>IF(O8=1,N(INDEX('Check-in'!$C$12:$C$131,N8)),0)</f>
        <v/>
      </c>
      <c r="R8">
        <f>IF(O8=1,N(INDEX('Check-in'!$E$12:$E$131,N8)),0)</f>
        <v/>
      </c>
      <c r="S8">
        <f>IF(O8=1,N(INDEX('Check-in'!$D$12:$D$131,N8)),0)</f>
        <v/>
      </c>
      <c r="U8" t="inlineStr">
        <is>
          <t>Neutres</t>
        </is>
      </c>
      <c r="V8">
        <f>'Analyse'!$C$12-'Analyse'!$C$14-'Analyse'!$C$15</f>
        <v/>
      </c>
    </row>
    <row r="9">
      <c r="A9" t="n">
        <v>4</v>
      </c>
      <c r="B9">
        <f>$B$3+A9-1</f>
        <v/>
      </c>
      <c r="C9">
        <f>IF(AND($B$2&gt;0,B9&lt;=$B$2),1,0)</f>
        <v/>
      </c>
      <c r="D9">
        <f>IF(C9=1,INDEX('Journal'!$A$6:$A$505,B9),"")</f>
        <v/>
      </c>
      <c r="E9">
        <f>IF($B$2=0,'Paramètres'!$C$9,'Paramètres'!$C$9+SUM('Journal'!$X$6:INDEX('Journal'!$X$6:$X$505,MIN(B9,$B$2))))</f>
        <v/>
      </c>
      <c r="F9">
        <f>IF($B$2=0,'Paramètres'!$C$9,MAX('Paramètres'!$C$9,MAX('Journal'!$AF$6:INDEX('Journal'!$AF$6:$AF$505,MIN(B9,$B$2)))))</f>
        <v/>
      </c>
      <c r="G9">
        <f>E9/F9-1</f>
        <v/>
      </c>
      <c r="H9">
        <f>IF(C9=1,N(INDEX('Journal'!$X$6:$X$505,B9)),0)</f>
        <v/>
      </c>
      <c r="I9">
        <f>MAX(H9,0)</f>
        <v/>
      </c>
      <c r="J9">
        <f>MIN(H9,0)</f>
        <v/>
      </c>
      <c r="K9">
        <f>'Paramètres'!$C$9</f>
        <v/>
      </c>
      <c r="M9" t="n">
        <v>4</v>
      </c>
      <c r="N9">
        <f>MAX(1,$N$3-29)+M9-1</f>
        <v/>
      </c>
      <c r="O9">
        <f>IF(AND($N$3&gt;0,N9&lt;=$N$3),1,0)</f>
        <v/>
      </c>
      <c r="P9" s="228">
        <f>IF(O9=1,N(INDEX('Check-in'!$B$12:$B$131,N9)),0)</f>
        <v/>
      </c>
      <c r="Q9">
        <f>IF(O9=1,N(INDEX('Check-in'!$C$12:$C$131,N9)),0)</f>
        <v/>
      </c>
      <c r="R9">
        <f>IF(O9=1,N(INDEX('Check-in'!$E$12:$E$131,N9)),0)</f>
        <v/>
      </c>
      <c r="S9">
        <f>IF(O9=1,N(INDEX('Check-in'!$D$12:$D$131,N9)),0)</f>
        <v/>
      </c>
    </row>
    <row r="10">
      <c r="A10" t="n">
        <v>5</v>
      </c>
      <c r="B10">
        <f>$B$3+A10-1</f>
        <v/>
      </c>
      <c r="C10">
        <f>IF(AND($B$2&gt;0,B10&lt;=$B$2),1,0)</f>
        <v/>
      </c>
      <c r="D10">
        <f>IF(C10=1,INDEX('Journal'!$A$6:$A$505,B10),"")</f>
        <v/>
      </c>
      <c r="E10">
        <f>IF($B$2=0,'Paramètres'!$C$9,'Paramètres'!$C$9+SUM('Journal'!$X$6:INDEX('Journal'!$X$6:$X$505,MIN(B10,$B$2))))</f>
        <v/>
      </c>
      <c r="F10">
        <f>IF($B$2=0,'Paramètres'!$C$9,MAX('Paramètres'!$C$9,MAX('Journal'!$AF$6:INDEX('Journal'!$AF$6:$AF$505,MIN(B10,$B$2)))))</f>
        <v/>
      </c>
      <c r="G10">
        <f>E10/F10-1</f>
        <v/>
      </c>
      <c r="H10">
        <f>IF(C10=1,N(INDEX('Journal'!$X$6:$X$505,B10)),0)</f>
        <v/>
      </c>
      <c r="I10">
        <f>MAX(H10,0)</f>
        <v/>
      </c>
      <c r="J10">
        <f>MIN(H10,0)</f>
        <v/>
      </c>
      <c r="K10">
        <f>'Paramètres'!$C$9</f>
        <v/>
      </c>
      <c r="M10" t="n">
        <v>5</v>
      </c>
      <c r="N10">
        <f>MAX(1,$N$3-29)+M10-1</f>
        <v/>
      </c>
      <c r="O10">
        <f>IF(AND($N$3&gt;0,N10&lt;=$N$3),1,0)</f>
        <v/>
      </c>
      <c r="P10" s="228">
        <f>IF(O10=1,N(INDEX('Check-in'!$B$12:$B$131,N10)),0)</f>
        <v/>
      </c>
      <c r="Q10">
        <f>IF(O10=1,N(INDEX('Check-in'!$C$12:$C$131,N10)),0)</f>
        <v/>
      </c>
      <c r="R10">
        <f>IF(O10=1,N(INDEX('Check-in'!$E$12:$E$131,N10)),0)</f>
        <v/>
      </c>
      <c r="S10">
        <f>IF(O10=1,N(INDEX('Check-in'!$D$12:$D$131,N10)),0)</f>
        <v/>
      </c>
      <c r="U10" t="inlineStr">
        <is>
          <t>Objectif</t>
        </is>
      </c>
      <c r="V10" t="inlineStr">
        <is>
          <t>Part</t>
        </is>
      </c>
    </row>
    <row r="11">
      <c r="A11" t="n">
        <v>6</v>
      </c>
      <c r="B11">
        <f>$B$3+A11-1</f>
        <v/>
      </c>
      <c r="C11">
        <f>IF(AND($B$2&gt;0,B11&lt;=$B$2),1,0)</f>
        <v/>
      </c>
      <c r="D11">
        <f>IF(C11=1,INDEX('Journal'!$A$6:$A$505,B11),"")</f>
        <v/>
      </c>
      <c r="E11">
        <f>IF($B$2=0,'Paramètres'!$C$9,'Paramètres'!$C$9+SUM('Journal'!$X$6:INDEX('Journal'!$X$6:$X$505,MIN(B11,$B$2))))</f>
        <v/>
      </c>
      <c r="F11">
        <f>IF($B$2=0,'Paramètres'!$C$9,MAX('Paramètres'!$C$9,MAX('Journal'!$AF$6:INDEX('Journal'!$AF$6:$AF$505,MIN(B11,$B$2)))))</f>
        <v/>
      </c>
      <c r="G11">
        <f>E11/F11-1</f>
        <v/>
      </c>
      <c r="H11">
        <f>IF(C11=1,N(INDEX('Journal'!$X$6:$X$505,B11)),0)</f>
        <v/>
      </c>
      <c r="I11">
        <f>MAX(H11,0)</f>
        <v/>
      </c>
      <c r="J11">
        <f>MIN(H11,0)</f>
        <v/>
      </c>
      <c r="K11">
        <f>'Paramètres'!$C$9</f>
        <v/>
      </c>
      <c r="M11" t="n">
        <v>6</v>
      </c>
      <c r="N11">
        <f>MAX(1,$N$3-29)+M11-1</f>
        <v/>
      </c>
      <c r="O11">
        <f>IF(AND($N$3&gt;0,N11&lt;=$N$3),1,0)</f>
        <v/>
      </c>
      <c r="P11" s="228">
        <f>IF(O11=1,N(INDEX('Check-in'!$B$12:$B$131,N11)),0)</f>
        <v/>
      </c>
      <c r="Q11">
        <f>IF(O11=1,N(INDEX('Check-in'!$C$12:$C$131,N11)),0)</f>
        <v/>
      </c>
      <c r="R11">
        <f>IF(O11=1,N(INDEX('Check-in'!$E$12:$E$131,N11)),0)</f>
        <v/>
      </c>
      <c r="S11">
        <f>IF(O11=1,N(INDEX('Check-in'!$D$12:$D$131,N11)),0)</f>
        <v/>
      </c>
      <c r="U11" t="inlineStr">
        <is>
          <t>Atteint</t>
        </is>
      </c>
      <c r="V11" s="229">
        <f>IFERROR(MAX(0,MIN(1,('Analyse'!$C$10-'Paramètres'!$C$9)/('Paramètres'!$C$10-'Paramètres'!$C$9))),0)</f>
        <v/>
      </c>
    </row>
    <row r="12">
      <c r="A12" t="n">
        <v>7</v>
      </c>
      <c r="B12">
        <f>$B$3+A12-1</f>
        <v/>
      </c>
      <c r="C12">
        <f>IF(AND($B$2&gt;0,B12&lt;=$B$2),1,0)</f>
        <v/>
      </c>
      <c r="D12">
        <f>IF(C12=1,INDEX('Journal'!$A$6:$A$505,B12),"")</f>
        <v/>
      </c>
      <c r="E12">
        <f>IF($B$2=0,'Paramètres'!$C$9,'Paramètres'!$C$9+SUM('Journal'!$X$6:INDEX('Journal'!$X$6:$X$505,MIN(B12,$B$2))))</f>
        <v/>
      </c>
      <c r="F12">
        <f>IF($B$2=0,'Paramètres'!$C$9,MAX('Paramètres'!$C$9,MAX('Journal'!$AF$6:INDEX('Journal'!$AF$6:$AF$505,MIN(B12,$B$2)))))</f>
        <v/>
      </c>
      <c r="G12">
        <f>E12/F12-1</f>
        <v/>
      </c>
      <c r="H12">
        <f>IF(C12=1,N(INDEX('Journal'!$X$6:$X$505,B12)),0)</f>
        <v/>
      </c>
      <c r="I12">
        <f>MAX(H12,0)</f>
        <v/>
      </c>
      <c r="J12">
        <f>MIN(H12,0)</f>
        <v/>
      </c>
      <c r="K12">
        <f>'Paramètres'!$C$9</f>
        <v/>
      </c>
      <c r="M12" t="n">
        <v>7</v>
      </c>
      <c r="N12">
        <f>MAX(1,$N$3-29)+M12-1</f>
        <v/>
      </c>
      <c r="O12">
        <f>IF(AND($N$3&gt;0,N12&lt;=$N$3),1,0)</f>
        <v/>
      </c>
      <c r="P12" s="228">
        <f>IF(O12=1,N(INDEX('Check-in'!$B$12:$B$131,N12)),0)</f>
        <v/>
      </c>
      <c r="Q12">
        <f>IF(O12=1,N(INDEX('Check-in'!$C$12:$C$131,N12)),0)</f>
        <v/>
      </c>
      <c r="R12">
        <f>IF(O12=1,N(INDEX('Check-in'!$E$12:$E$131,N12)),0)</f>
        <v/>
      </c>
      <c r="S12">
        <f>IF(O12=1,N(INDEX('Check-in'!$D$12:$D$131,N12)),0)</f>
        <v/>
      </c>
      <c r="U12" t="inlineStr">
        <is>
          <t>Restant</t>
        </is>
      </c>
      <c r="V12" s="229">
        <f>1-V11</f>
        <v/>
      </c>
    </row>
    <row r="13">
      <c r="A13" t="n">
        <v>8</v>
      </c>
      <c r="B13">
        <f>$B$3+A13-1</f>
        <v/>
      </c>
      <c r="C13">
        <f>IF(AND($B$2&gt;0,B13&lt;=$B$2),1,0)</f>
        <v/>
      </c>
      <c r="D13">
        <f>IF(C13=1,INDEX('Journal'!$A$6:$A$505,B13),"")</f>
        <v/>
      </c>
      <c r="E13">
        <f>IF($B$2=0,'Paramètres'!$C$9,'Paramètres'!$C$9+SUM('Journal'!$X$6:INDEX('Journal'!$X$6:$X$505,MIN(B13,$B$2))))</f>
        <v/>
      </c>
      <c r="F13">
        <f>IF($B$2=0,'Paramètres'!$C$9,MAX('Paramètres'!$C$9,MAX('Journal'!$AF$6:INDEX('Journal'!$AF$6:$AF$505,MIN(B13,$B$2)))))</f>
        <v/>
      </c>
      <c r="G13">
        <f>E13/F13-1</f>
        <v/>
      </c>
      <c r="H13">
        <f>IF(C13=1,N(INDEX('Journal'!$X$6:$X$505,B13)),0)</f>
        <v/>
      </c>
      <c r="I13">
        <f>MAX(H13,0)</f>
        <v/>
      </c>
      <c r="J13">
        <f>MIN(H13,0)</f>
        <v/>
      </c>
      <c r="K13">
        <f>'Paramètres'!$C$9</f>
        <v/>
      </c>
      <c r="M13" t="n">
        <v>8</v>
      </c>
      <c r="N13">
        <f>MAX(1,$N$3-29)+M13-1</f>
        <v/>
      </c>
      <c r="O13">
        <f>IF(AND($N$3&gt;0,N13&lt;=$N$3),1,0)</f>
        <v/>
      </c>
      <c r="P13" s="228">
        <f>IF(O13=1,N(INDEX('Check-in'!$B$12:$B$131,N13)),0)</f>
        <v/>
      </c>
      <c r="Q13">
        <f>IF(O13=1,N(INDEX('Check-in'!$C$12:$C$131,N13)),0)</f>
        <v/>
      </c>
      <c r="R13">
        <f>IF(O13=1,N(INDEX('Check-in'!$E$12:$E$131,N13)),0)</f>
        <v/>
      </c>
      <c r="S13">
        <f>IF(O13=1,N(INDEX('Check-in'!$D$12:$D$131,N13)),0)</f>
        <v/>
      </c>
    </row>
    <row r="14">
      <c r="A14" t="n">
        <v>9</v>
      </c>
      <c r="B14">
        <f>$B$3+A14-1</f>
        <v/>
      </c>
      <c r="C14">
        <f>IF(AND($B$2&gt;0,B14&lt;=$B$2),1,0)</f>
        <v/>
      </c>
      <c r="D14">
        <f>IF(C14=1,INDEX('Journal'!$A$6:$A$505,B14),"")</f>
        <v/>
      </c>
      <c r="E14">
        <f>IF($B$2=0,'Paramètres'!$C$9,'Paramètres'!$C$9+SUM('Journal'!$X$6:INDEX('Journal'!$X$6:$X$505,MIN(B14,$B$2))))</f>
        <v/>
      </c>
      <c r="F14">
        <f>IF($B$2=0,'Paramètres'!$C$9,MAX('Paramètres'!$C$9,MAX('Journal'!$AF$6:INDEX('Journal'!$AF$6:$AF$505,MIN(B14,$B$2)))))</f>
        <v/>
      </c>
      <c r="G14">
        <f>E14/F14-1</f>
        <v/>
      </c>
      <c r="H14">
        <f>IF(C14=1,N(INDEX('Journal'!$X$6:$X$505,B14)),0)</f>
        <v/>
      </c>
      <c r="I14">
        <f>MAX(H14,0)</f>
        <v/>
      </c>
      <c r="J14">
        <f>MIN(H14,0)</f>
        <v/>
      </c>
      <c r="K14">
        <f>'Paramètres'!$C$9</f>
        <v/>
      </c>
      <c r="M14" t="n">
        <v>9</v>
      </c>
      <c r="N14">
        <f>MAX(1,$N$3-29)+M14-1</f>
        <v/>
      </c>
      <c r="O14">
        <f>IF(AND($N$3&gt;0,N14&lt;=$N$3),1,0)</f>
        <v/>
      </c>
      <c r="P14" s="228">
        <f>IF(O14=1,N(INDEX('Check-in'!$B$12:$B$131,N14)),0)</f>
        <v/>
      </c>
      <c r="Q14">
        <f>IF(O14=1,N(INDEX('Check-in'!$C$12:$C$131,N14)),0)</f>
        <v/>
      </c>
      <c r="R14">
        <f>IF(O14=1,N(INDEX('Check-in'!$E$12:$E$131,N14)),0)</f>
        <v/>
      </c>
      <c r="S14">
        <f>IF(O14=1,N(INDEX('Check-in'!$D$12:$D$131,N14)),0)</f>
        <v/>
      </c>
    </row>
    <row r="15">
      <c r="A15" t="n">
        <v>10</v>
      </c>
      <c r="B15">
        <f>$B$3+A15-1</f>
        <v/>
      </c>
      <c r="C15">
        <f>IF(AND($B$2&gt;0,B15&lt;=$B$2),1,0)</f>
        <v/>
      </c>
      <c r="D15">
        <f>IF(C15=1,INDEX('Journal'!$A$6:$A$505,B15),"")</f>
        <v/>
      </c>
      <c r="E15">
        <f>IF($B$2=0,'Paramètres'!$C$9,'Paramètres'!$C$9+SUM('Journal'!$X$6:INDEX('Journal'!$X$6:$X$505,MIN(B15,$B$2))))</f>
        <v/>
      </c>
      <c r="F15">
        <f>IF($B$2=0,'Paramètres'!$C$9,MAX('Paramètres'!$C$9,MAX('Journal'!$AF$6:INDEX('Journal'!$AF$6:$AF$505,MIN(B15,$B$2)))))</f>
        <v/>
      </c>
      <c r="G15">
        <f>E15/F15-1</f>
        <v/>
      </c>
      <c r="H15">
        <f>IF(C15=1,N(INDEX('Journal'!$X$6:$X$505,B15)),0)</f>
        <v/>
      </c>
      <c r="I15">
        <f>MAX(H15,0)</f>
        <v/>
      </c>
      <c r="J15">
        <f>MIN(H15,0)</f>
        <v/>
      </c>
      <c r="K15">
        <f>'Paramètres'!$C$9</f>
        <v/>
      </c>
      <c r="M15" t="n">
        <v>10</v>
      </c>
      <c r="N15">
        <f>MAX(1,$N$3-29)+M15-1</f>
        <v/>
      </c>
      <c r="O15">
        <f>IF(AND($N$3&gt;0,N15&lt;=$N$3),1,0)</f>
        <v/>
      </c>
      <c r="P15" s="228">
        <f>IF(O15=1,N(INDEX('Check-in'!$B$12:$B$131,N15)),0)</f>
        <v/>
      </c>
      <c r="Q15">
        <f>IF(O15=1,N(INDEX('Check-in'!$C$12:$C$131,N15)),0)</f>
        <v/>
      </c>
      <c r="R15">
        <f>IF(O15=1,N(INDEX('Check-in'!$E$12:$E$131,N15)),0)</f>
        <v/>
      </c>
      <c r="S15">
        <f>IF(O15=1,N(INDEX('Check-in'!$D$12:$D$131,N15)),0)</f>
        <v/>
      </c>
    </row>
    <row r="16">
      <c r="A16" t="n">
        <v>11</v>
      </c>
      <c r="B16">
        <f>$B$3+A16-1</f>
        <v/>
      </c>
      <c r="C16">
        <f>IF(AND($B$2&gt;0,B16&lt;=$B$2),1,0)</f>
        <v/>
      </c>
      <c r="D16">
        <f>IF(C16=1,INDEX('Journal'!$A$6:$A$505,B16),"")</f>
        <v/>
      </c>
      <c r="E16">
        <f>IF($B$2=0,'Paramètres'!$C$9,'Paramètres'!$C$9+SUM('Journal'!$X$6:INDEX('Journal'!$X$6:$X$505,MIN(B16,$B$2))))</f>
        <v/>
      </c>
      <c r="F16">
        <f>IF($B$2=0,'Paramètres'!$C$9,MAX('Paramètres'!$C$9,MAX('Journal'!$AF$6:INDEX('Journal'!$AF$6:$AF$505,MIN(B16,$B$2)))))</f>
        <v/>
      </c>
      <c r="G16">
        <f>E16/F16-1</f>
        <v/>
      </c>
      <c r="H16">
        <f>IF(C16=1,N(INDEX('Journal'!$X$6:$X$505,B16)),0)</f>
        <v/>
      </c>
      <c r="I16">
        <f>MAX(H16,0)</f>
        <v/>
      </c>
      <c r="J16">
        <f>MIN(H16,0)</f>
        <v/>
      </c>
      <c r="K16">
        <f>'Paramètres'!$C$9</f>
        <v/>
      </c>
      <c r="M16" t="n">
        <v>11</v>
      </c>
      <c r="N16">
        <f>MAX(1,$N$3-29)+M16-1</f>
        <v/>
      </c>
      <c r="O16">
        <f>IF(AND($N$3&gt;0,N16&lt;=$N$3),1,0)</f>
        <v/>
      </c>
      <c r="P16" s="228">
        <f>IF(O16=1,N(INDEX('Check-in'!$B$12:$B$131,N16)),0)</f>
        <v/>
      </c>
      <c r="Q16">
        <f>IF(O16=1,N(INDEX('Check-in'!$C$12:$C$131,N16)),0)</f>
        <v/>
      </c>
      <c r="R16">
        <f>IF(O16=1,N(INDEX('Check-in'!$E$12:$E$131,N16)),0)</f>
        <v/>
      </c>
      <c r="S16">
        <f>IF(O16=1,N(INDEX('Check-in'!$D$12:$D$131,N16)),0)</f>
        <v/>
      </c>
    </row>
    <row r="17">
      <c r="A17" t="n">
        <v>12</v>
      </c>
      <c r="B17">
        <f>$B$3+A17-1</f>
        <v/>
      </c>
      <c r="C17">
        <f>IF(AND($B$2&gt;0,B17&lt;=$B$2),1,0)</f>
        <v/>
      </c>
      <c r="D17">
        <f>IF(C17=1,INDEX('Journal'!$A$6:$A$505,B17),"")</f>
        <v/>
      </c>
      <c r="E17">
        <f>IF($B$2=0,'Paramètres'!$C$9,'Paramètres'!$C$9+SUM('Journal'!$X$6:INDEX('Journal'!$X$6:$X$505,MIN(B17,$B$2))))</f>
        <v/>
      </c>
      <c r="F17">
        <f>IF($B$2=0,'Paramètres'!$C$9,MAX('Paramètres'!$C$9,MAX('Journal'!$AF$6:INDEX('Journal'!$AF$6:$AF$505,MIN(B17,$B$2)))))</f>
        <v/>
      </c>
      <c r="G17">
        <f>E17/F17-1</f>
        <v/>
      </c>
      <c r="H17">
        <f>IF(C17=1,N(INDEX('Journal'!$X$6:$X$505,B17)),0)</f>
        <v/>
      </c>
      <c r="I17">
        <f>MAX(H17,0)</f>
        <v/>
      </c>
      <c r="J17">
        <f>MIN(H17,0)</f>
        <v/>
      </c>
      <c r="K17">
        <f>'Paramètres'!$C$9</f>
        <v/>
      </c>
      <c r="M17" t="n">
        <v>12</v>
      </c>
      <c r="N17">
        <f>MAX(1,$N$3-29)+M17-1</f>
        <v/>
      </c>
      <c r="O17">
        <f>IF(AND($N$3&gt;0,N17&lt;=$N$3),1,0)</f>
        <v/>
      </c>
      <c r="P17" s="228">
        <f>IF(O17=1,N(INDEX('Check-in'!$B$12:$B$131,N17)),0)</f>
        <v/>
      </c>
      <c r="Q17">
        <f>IF(O17=1,N(INDEX('Check-in'!$C$12:$C$131,N17)),0)</f>
        <v/>
      </c>
      <c r="R17">
        <f>IF(O17=1,N(INDEX('Check-in'!$E$12:$E$131,N17)),0)</f>
        <v/>
      </c>
      <c r="S17">
        <f>IF(O17=1,N(INDEX('Check-in'!$D$12:$D$131,N17)),0)</f>
        <v/>
      </c>
    </row>
    <row r="18">
      <c r="A18" t="n">
        <v>13</v>
      </c>
      <c r="B18">
        <f>$B$3+A18-1</f>
        <v/>
      </c>
      <c r="C18">
        <f>IF(AND($B$2&gt;0,B18&lt;=$B$2),1,0)</f>
        <v/>
      </c>
      <c r="D18">
        <f>IF(C18=1,INDEX('Journal'!$A$6:$A$505,B18),"")</f>
        <v/>
      </c>
      <c r="E18">
        <f>IF($B$2=0,'Paramètres'!$C$9,'Paramètres'!$C$9+SUM('Journal'!$X$6:INDEX('Journal'!$X$6:$X$505,MIN(B18,$B$2))))</f>
        <v/>
      </c>
      <c r="F18">
        <f>IF($B$2=0,'Paramètres'!$C$9,MAX('Paramètres'!$C$9,MAX('Journal'!$AF$6:INDEX('Journal'!$AF$6:$AF$505,MIN(B18,$B$2)))))</f>
        <v/>
      </c>
      <c r="G18">
        <f>E18/F18-1</f>
        <v/>
      </c>
      <c r="H18">
        <f>IF(C18=1,N(INDEX('Journal'!$X$6:$X$505,B18)),0)</f>
        <v/>
      </c>
      <c r="I18">
        <f>MAX(H18,0)</f>
        <v/>
      </c>
      <c r="J18">
        <f>MIN(H18,0)</f>
        <v/>
      </c>
      <c r="K18">
        <f>'Paramètres'!$C$9</f>
        <v/>
      </c>
      <c r="M18" t="n">
        <v>13</v>
      </c>
      <c r="N18">
        <f>MAX(1,$N$3-29)+M18-1</f>
        <v/>
      </c>
      <c r="O18">
        <f>IF(AND($N$3&gt;0,N18&lt;=$N$3),1,0)</f>
        <v/>
      </c>
      <c r="P18" s="228">
        <f>IF(O18=1,N(INDEX('Check-in'!$B$12:$B$131,N18)),0)</f>
        <v/>
      </c>
      <c r="Q18">
        <f>IF(O18=1,N(INDEX('Check-in'!$C$12:$C$131,N18)),0)</f>
        <v/>
      </c>
      <c r="R18">
        <f>IF(O18=1,N(INDEX('Check-in'!$E$12:$E$131,N18)),0)</f>
        <v/>
      </c>
      <c r="S18">
        <f>IF(O18=1,N(INDEX('Check-in'!$D$12:$D$131,N18)),0)</f>
        <v/>
      </c>
    </row>
    <row r="19">
      <c r="A19" t="n">
        <v>14</v>
      </c>
      <c r="B19">
        <f>$B$3+A19-1</f>
        <v/>
      </c>
      <c r="C19">
        <f>IF(AND($B$2&gt;0,B19&lt;=$B$2),1,0)</f>
        <v/>
      </c>
      <c r="D19">
        <f>IF(C19=1,INDEX('Journal'!$A$6:$A$505,B19),"")</f>
        <v/>
      </c>
      <c r="E19">
        <f>IF($B$2=0,'Paramètres'!$C$9,'Paramètres'!$C$9+SUM('Journal'!$X$6:INDEX('Journal'!$X$6:$X$505,MIN(B19,$B$2))))</f>
        <v/>
      </c>
      <c r="F19">
        <f>IF($B$2=0,'Paramètres'!$C$9,MAX('Paramètres'!$C$9,MAX('Journal'!$AF$6:INDEX('Journal'!$AF$6:$AF$505,MIN(B19,$B$2)))))</f>
        <v/>
      </c>
      <c r="G19">
        <f>E19/F19-1</f>
        <v/>
      </c>
      <c r="H19">
        <f>IF(C19=1,N(INDEX('Journal'!$X$6:$X$505,B19)),0)</f>
        <v/>
      </c>
      <c r="I19">
        <f>MAX(H19,0)</f>
        <v/>
      </c>
      <c r="J19">
        <f>MIN(H19,0)</f>
        <v/>
      </c>
      <c r="K19">
        <f>'Paramètres'!$C$9</f>
        <v/>
      </c>
      <c r="M19" t="n">
        <v>14</v>
      </c>
      <c r="N19">
        <f>MAX(1,$N$3-29)+M19-1</f>
        <v/>
      </c>
      <c r="O19">
        <f>IF(AND($N$3&gt;0,N19&lt;=$N$3),1,0)</f>
        <v/>
      </c>
      <c r="P19" s="228">
        <f>IF(O19=1,N(INDEX('Check-in'!$B$12:$B$131,N19)),0)</f>
        <v/>
      </c>
      <c r="Q19">
        <f>IF(O19=1,N(INDEX('Check-in'!$C$12:$C$131,N19)),0)</f>
        <v/>
      </c>
      <c r="R19">
        <f>IF(O19=1,N(INDEX('Check-in'!$E$12:$E$131,N19)),0)</f>
        <v/>
      </c>
      <c r="S19">
        <f>IF(O19=1,N(INDEX('Check-in'!$D$12:$D$131,N19)),0)</f>
        <v/>
      </c>
    </row>
    <row r="20">
      <c r="A20" t="n">
        <v>15</v>
      </c>
      <c r="B20">
        <f>$B$3+A20-1</f>
        <v/>
      </c>
      <c r="C20">
        <f>IF(AND($B$2&gt;0,B20&lt;=$B$2),1,0)</f>
        <v/>
      </c>
      <c r="D20">
        <f>IF(C20=1,INDEX('Journal'!$A$6:$A$505,B20),"")</f>
        <v/>
      </c>
      <c r="E20">
        <f>IF($B$2=0,'Paramètres'!$C$9,'Paramètres'!$C$9+SUM('Journal'!$X$6:INDEX('Journal'!$X$6:$X$505,MIN(B20,$B$2))))</f>
        <v/>
      </c>
      <c r="F20">
        <f>IF($B$2=0,'Paramètres'!$C$9,MAX('Paramètres'!$C$9,MAX('Journal'!$AF$6:INDEX('Journal'!$AF$6:$AF$505,MIN(B20,$B$2)))))</f>
        <v/>
      </c>
      <c r="G20">
        <f>E20/F20-1</f>
        <v/>
      </c>
      <c r="H20">
        <f>IF(C20=1,N(INDEX('Journal'!$X$6:$X$505,B20)),0)</f>
        <v/>
      </c>
      <c r="I20">
        <f>MAX(H20,0)</f>
        <v/>
      </c>
      <c r="J20">
        <f>MIN(H20,0)</f>
        <v/>
      </c>
      <c r="K20">
        <f>'Paramètres'!$C$9</f>
        <v/>
      </c>
      <c r="M20" t="n">
        <v>15</v>
      </c>
      <c r="N20">
        <f>MAX(1,$N$3-29)+M20-1</f>
        <v/>
      </c>
      <c r="O20">
        <f>IF(AND($N$3&gt;0,N20&lt;=$N$3),1,0)</f>
        <v/>
      </c>
      <c r="P20" s="228">
        <f>IF(O20=1,N(INDEX('Check-in'!$B$12:$B$131,N20)),0)</f>
        <v/>
      </c>
      <c r="Q20">
        <f>IF(O20=1,N(INDEX('Check-in'!$C$12:$C$131,N20)),0)</f>
        <v/>
      </c>
      <c r="R20">
        <f>IF(O20=1,N(INDEX('Check-in'!$E$12:$E$131,N20)),0)</f>
        <v/>
      </c>
      <c r="S20">
        <f>IF(O20=1,N(INDEX('Check-in'!$D$12:$D$131,N20)),0)</f>
        <v/>
      </c>
    </row>
    <row r="21">
      <c r="A21" t="n">
        <v>16</v>
      </c>
      <c r="B21">
        <f>$B$3+A21-1</f>
        <v/>
      </c>
      <c r="C21">
        <f>IF(AND($B$2&gt;0,B21&lt;=$B$2),1,0)</f>
        <v/>
      </c>
      <c r="D21">
        <f>IF(C21=1,INDEX('Journal'!$A$6:$A$505,B21),"")</f>
        <v/>
      </c>
      <c r="E21">
        <f>IF($B$2=0,'Paramètres'!$C$9,'Paramètres'!$C$9+SUM('Journal'!$X$6:INDEX('Journal'!$X$6:$X$505,MIN(B21,$B$2))))</f>
        <v/>
      </c>
      <c r="F21">
        <f>IF($B$2=0,'Paramètres'!$C$9,MAX('Paramètres'!$C$9,MAX('Journal'!$AF$6:INDEX('Journal'!$AF$6:$AF$505,MIN(B21,$B$2)))))</f>
        <v/>
      </c>
      <c r="G21">
        <f>E21/F21-1</f>
        <v/>
      </c>
      <c r="H21">
        <f>IF(C21=1,N(INDEX('Journal'!$X$6:$X$505,B21)),0)</f>
        <v/>
      </c>
      <c r="I21">
        <f>MAX(H21,0)</f>
        <v/>
      </c>
      <c r="J21">
        <f>MIN(H21,0)</f>
        <v/>
      </c>
      <c r="K21">
        <f>'Paramètres'!$C$9</f>
        <v/>
      </c>
      <c r="M21" t="n">
        <v>16</v>
      </c>
      <c r="N21">
        <f>MAX(1,$N$3-29)+M21-1</f>
        <v/>
      </c>
      <c r="O21">
        <f>IF(AND($N$3&gt;0,N21&lt;=$N$3),1,0)</f>
        <v/>
      </c>
      <c r="P21" s="228">
        <f>IF(O21=1,N(INDEX('Check-in'!$B$12:$B$131,N21)),0)</f>
        <v/>
      </c>
      <c r="Q21">
        <f>IF(O21=1,N(INDEX('Check-in'!$C$12:$C$131,N21)),0)</f>
        <v/>
      </c>
      <c r="R21">
        <f>IF(O21=1,N(INDEX('Check-in'!$E$12:$E$131,N21)),0)</f>
        <v/>
      </c>
      <c r="S21">
        <f>IF(O21=1,N(INDEX('Check-in'!$D$12:$D$131,N21)),0)</f>
        <v/>
      </c>
    </row>
    <row r="22">
      <c r="A22" t="n">
        <v>17</v>
      </c>
      <c r="B22">
        <f>$B$3+A22-1</f>
        <v/>
      </c>
      <c r="C22">
        <f>IF(AND($B$2&gt;0,B22&lt;=$B$2),1,0)</f>
        <v/>
      </c>
      <c r="D22">
        <f>IF(C22=1,INDEX('Journal'!$A$6:$A$505,B22),"")</f>
        <v/>
      </c>
      <c r="E22">
        <f>IF($B$2=0,'Paramètres'!$C$9,'Paramètres'!$C$9+SUM('Journal'!$X$6:INDEX('Journal'!$X$6:$X$505,MIN(B22,$B$2))))</f>
        <v/>
      </c>
      <c r="F22">
        <f>IF($B$2=0,'Paramètres'!$C$9,MAX('Paramètres'!$C$9,MAX('Journal'!$AF$6:INDEX('Journal'!$AF$6:$AF$505,MIN(B22,$B$2)))))</f>
        <v/>
      </c>
      <c r="G22">
        <f>E22/F22-1</f>
        <v/>
      </c>
      <c r="H22">
        <f>IF(C22=1,N(INDEX('Journal'!$X$6:$X$505,B22)),0)</f>
        <v/>
      </c>
      <c r="I22">
        <f>MAX(H22,0)</f>
        <v/>
      </c>
      <c r="J22">
        <f>MIN(H22,0)</f>
        <v/>
      </c>
      <c r="K22">
        <f>'Paramètres'!$C$9</f>
        <v/>
      </c>
      <c r="M22" t="n">
        <v>17</v>
      </c>
      <c r="N22">
        <f>MAX(1,$N$3-29)+M22-1</f>
        <v/>
      </c>
      <c r="O22">
        <f>IF(AND($N$3&gt;0,N22&lt;=$N$3),1,0)</f>
        <v/>
      </c>
      <c r="P22" s="228">
        <f>IF(O22=1,N(INDEX('Check-in'!$B$12:$B$131,N22)),0)</f>
        <v/>
      </c>
      <c r="Q22">
        <f>IF(O22=1,N(INDEX('Check-in'!$C$12:$C$131,N22)),0)</f>
        <v/>
      </c>
      <c r="R22">
        <f>IF(O22=1,N(INDEX('Check-in'!$E$12:$E$131,N22)),0)</f>
        <v/>
      </c>
      <c r="S22">
        <f>IF(O22=1,N(INDEX('Check-in'!$D$12:$D$131,N22)),0)</f>
        <v/>
      </c>
    </row>
    <row r="23">
      <c r="A23" t="n">
        <v>18</v>
      </c>
      <c r="B23">
        <f>$B$3+A23-1</f>
        <v/>
      </c>
      <c r="C23">
        <f>IF(AND($B$2&gt;0,B23&lt;=$B$2),1,0)</f>
        <v/>
      </c>
      <c r="D23">
        <f>IF(C23=1,INDEX('Journal'!$A$6:$A$505,B23),"")</f>
        <v/>
      </c>
      <c r="E23">
        <f>IF($B$2=0,'Paramètres'!$C$9,'Paramètres'!$C$9+SUM('Journal'!$X$6:INDEX('Journal'!$X$6:$X$505,MIN(B23,$B$2))))</f>
        <v/>
      </c>
      <c r="F23">
        <f>IF($B$2=0,'Paramètres'!$C$9,MAX('Paramètres'!$C$9,MAX('Journal'!$AF$6:INDEX('Journal'!$AF$6:$AF$505,MIN(B23,$B$2)))))</f>
        <v/>
      </c>
      <c r="G23">
        <f>E23/F23-1</f>
        <v/>
      </c>
      <c r="H23">
        <f>IF(C23=1,N(INDEX('Journal'!$X$6:$X$505,B23)),0)</f>
        <v/>
      </c>
      <c r="I23">
        <f>MAX(H23,0)</f>
        <v/>
      </c>
      <c r="J23">
        <f>MIN(H23,0)</f>
        <v/>
      </c>
      <c r="K23">
        <f>'Paramètres'!$C$9</f>
        <v/>
      </c>
      <c r="M23" t="n">
        <v>18</v>
      </c>
      <c r="N23">
        <f>MAX(1,$N$3-29)+M23-1</f>
        <v/>
      </c>
      <c r="O23">
        <f>IF(AND($N$3&gt;0,N23&lt;=$N$3),1,0)</f>
        <v/>
      </c>
      <c r="P23" s="228">
        <f>IF(O23=1,N(INDEX('Check-in'!$B$12:$B$131,N23)),0)</f>
        <v/>
      </c>
      <c r="Q23">
        <f>IF(O23=1,N(INDEX('Check-in'!$C$12:$C$131,N23)),0)</f>
        <v/>
      </c>
      <c r="R23">
        <f>IF(O23=1,N(INDEX('Check-in'!$E$12:$E$131,N23)),0)</f>
        <v/>
      </c>
      <c r="S23">
        <f>IF(O23=1,N(INDEX('Check-in'!$D$12:$D$131,N23)),0)</f>
        <v/>
      </c>
    </row>
    <row r="24">
      <c r="A24" t="n">
        <v>19</v>
      </c>
      <c r="B24">
        <f>$B$3+A24-1</f>
        <v/>
      </c>
      <c r="C24">
        <f>IF(AND($B$2&gt;0,B24&lt;=$B$2),1,0)</f>
        <v/>
      </c>
      <c r="D24">
        <f>IF(C24=1,INDEX('Journal'!$A$6:$A$505,B24),"")</f>
        <v/>
      </c>
      <c r="E24">
        <f>IF($B$2=0,'Paramètres'!$C$9,'Paramètres'!$C$9+SUM('Journal'!$X$6:INDEX('Journal'!$X$6:$X$505,MIN(B24,$B$2))))</f>
        <v/>
      </c>
      <c r="F24">
        <f>IF($B$2=0,'Paramètres'!$C$9,MAX('Paramètres'!$C$9,MAX('Journal'!$AF$6:INDEX('Journal'!$AF$6:$AF$505,MIN(B24,$B$2)))))</f>
        <v/>
      </c>
      <c r="G24">
        <f>E24/F24-1</f>
        <v/>
      </c>
      <c r="H24">
        <f>IF(C24=1,N(INDEX('Journal'!$X$6:$X$505,B24)),0)</f>
        <v/>
      </c>
      <c r="I24">
        <f>MAX(H24,0)</f>
        <v/>
      </c>
      <c r="J24">
        <f>MIN(H24,0)</f>
        <v/>
      </c>
      <c r="K24">
        <f>'Paramètres'!$C$9</f>
        <v/>
      </c>
      <c r="M24" t="n">
        <v>19</v>
      </c>
      <c r="N24">
        <f>MAX(1,$N$3-29)+M24-1</f>
        <v/>
      </c>
      <c r="O24">
        <f>IF(AND($N$3&gt;0,N24&lt;=$N$3),1,0)</f>
        <v/>
      </c>
      <c r="P24" s="228">
        <f>IF(O24=1,N(INDEX('Check-in'!$B$12:$B$131,N24)),0)</f>
        <v/>
      </c>
      <c r="Q24">
        <f>IF(O24=1,N(INDEX('Check-in'!$C$12:$C$131,N24)),0)</f>
        <v/>
      </c>
      <c r="R24">
        <f>IF(O24=1,N(INDEX('Check-in'!$E$12:$E$131,N24)),0)</f>
        <v/>
      </c>
      <c r="S24">
        <f>IF(O24=1,N(INDEX('Check-in'!$D$12:$D$131,N24)),0)</f>
        <v/>
      </c>
    </row>
    <row r="25">
      <c r="A25" t="n">
        <v>20</v>
      </c>
      <c r="B25">
        <f>$B$3+A25-1</f>
        <v/>
      </c>
      <c r="C25">
        <f>IF(AND($B$2&gt;0,B25&lt;=$B$2),1,0)</f>
        <v/>
      </c>
      <c r="D25">
        <f>IF(C25=1,INDEX('Journal'!$A$6:$A$505,B25),"")</f>
        <v/>
      </c>
      <c r="E25">
        <f>IF($B$2=0,'Paramètres'!$C$9,'Paramètres'!$C$9+SUM('Journal'!$X$6:INDEX('Journal'!$X$6:$X$505,MIN(B25,$B$2))))</f>
        <v/>
      </c>
      <c r="F25">
        <f>IF($B$2=0,'Paramètres'!$C$9,MAX('Paramètres'!$C$9,MAX('Journal'!$AF$6:INDEX('Journal'!$AF$6:$AF$505,MIN(B25,$B$2)))))</f>
        <v/>
      </c>
      <c r="G25">
        <f>E25/F25-1</f>
        <v/>
      </c>
      <c r="H25">
        <f>IF(C25=1,N(INDEX('Journal'!$X$6:$X$505,B25)),0)</f>
        <v/>
      </c>
      <c r="I25">
        <f>MAX(H25,0)</f>
        <v/>
      </c>
      <c r="J25">
        <f>MIN(H25,0)</f>
        <v/>
      </c>
      <c r="K25">
        <f>'Paramètres'!$C$9</f>
        <v/>
      </c>
      <c r="M25" t="n">
        <v>20</v>
      </c>
      <c r="N25">
        <f>MAX(1,$N$3-29)+M25-1</f>
        <v/>
      </c>
      <c r="O25">
        <f>IF(AND($N$3&gt;0,N25&lt;=$N$3),1,0)</f>
        <v/>
      </c>
      <c r="P25" s="228">
        <f>IF(O25=1,N(INDEX('Check-in'!$B$12:$B$131,N25)),0)</f>
        <v/>
      </c>
      <c r="Q25">
        <f>IF(O25=1,N(INDEX('Check-in'!$C$12:$C$131,N25)),0)</f>
        <v/>
      </c>
      <c r="R25">
        <f>IF(O25=1,N(INDEX('Check-in'!$E$12:$E$131,N25)),0)</f>
        <v/>
      </c>
      <c r="S25">
        <f>IF(O25=1,N(INDEX('Check-in'!$D$12:$D$131,N25)),0)</f>
        <v/>
      </c>
    </row>
    <row r="26">
      <c r="A26" t="n">
        <v>21</v>
      </c>
      <c r="B26">
        <f>$B$3+A26-1</f>
        <v/>
      </c>
      <c r="C26">
        <f>IF(AND($B$2&gt;0,B26&lt;=$B$2),1,0)</f>
        <v/>
      </c>
      <c r="D26">
        <f>IF(C26=1,INDEX('Journal'!$A$6:$A$505,B26),"")</f>
        <v/>
      </c>
      <c r="E26">
        <f>IF($B$2=0,'Paramètres'!$C$9,'Paramètres'!$C$9+SUM('Journal'!$X$6:INDEX('Journal'!$X$6:$X$505,MIN(B26,$B$2))))</f>
        <v/>
      </c>
      <c r="F26">
        <f>IF($B$2=0,'Paramètres'!$C$9,MAX('Paramètres'!$C$9,MAX('Journal'!$AF$6:INDEX('Journal'!$AF$6:$AF$505,MIN(B26,$B$2)))))</f>
        <v/>
      </c>
      <c r="G26">
        <f>E26/F26-1</f>
        <v/>
      </c>
      <c r="H26">
        <f>IF(C26=1,N(INDEX('Journal'!$X$6:$X$505,B26)),0)</f>
        <v/>
      </c>
      <c r="I26">
        <f>MAX(H26,0)</f>
        <v/>
      </c>
      <c r="J26">
        <f>MIN(H26,0)</f>
        <v/>
      </c>
      <c r="K26">
        <f>'Paramètres'!$C$9</f>
        <v/>
      </c>
      <c r="M26" t="n">
        <v>21</v>
      </c>
      <c r="N26">
        <f>MAX(1,$N$3-29)+M26-1</f>
        <v/>
      </c>
      <c r="O26">
        <f>IF(AND($N$3&gt;0,N26&lt;=$N$3),1,0)</f>
        <v/>
      </c>
      <c r="P26" s="228">
        <f>IF(O26=1,N(INDEX('Check-in'!$B$12:$B$131,N26)),0)</f>
        <v/>
      </c>
      <c r="Q26">
        <f>IF(O26=1,N(INDEX('Check-in'!$C$12:$C$131,N26)),0)</f>
        <v/>
      </c>
      <c r="R26">
        <f>IF(O26=1,N(INDEX('Check-in'!$E$12:$E$131,N26)),0)</f>
        <v/>
      </c>
      <c r="S26">
        <f>IF(O26=1,N(INDEX('Check-in'!$D$12:$D$131,N26)),0)</f>
        <v/>
      </c>
    </row>
    <row r="27">
      <c r="A27" t="n">
        <v>22</v>
      </c>
      <c r="B27">
        <f>$B$3+A27-1</f>
        <v/>
      </c>
      <c r="C27">
        <f>IF(AND($B$2&gt;0,B27&lt;=$B$2),1,0)</f>
        <v/>
      </c>
      <c r="D27">
        <f>IF(C27=1,INDEX('Journal'!$A$6:$A$505,B27),"")</f>
        <v/>
      </c>
      <c r="E27">
        <f>IF($B$2=0,'Paramètres'!$C$9,'Paramètres'!$C$9+SUM('Journal'!$X$6:INDEX('Journal'!$X$6:$X$505,MIN(B27,$B$2))))</f>
        <v/>
      </c>
      <c r="F27">
        <f>IF($B$2=0,'Paramètres'!$C$9,MAX('Paramètres'!$C$9,MAX('Journal'!$AF$6:INDEX('Journal'!$AF$6:$AF$505,MIN(B27,$B$2)))))</f>
        <v/>
      </c>
      <c r="G27">
        <f>E27/F27-1</f>
        <v/>
      </c>
      <c r="H27">
        <f>IF(C27=1,N(INDEX('Journal'!$X$6:$X$505,B27)),0)</f>
        <v/>
      </c>
      <c r="I27">
        <f>MAX(H27,0)</f>
        <v/>
      </c>
      <c r="J27">
        <f>MIN(H27,0)</f>
        <v/>
      </c>
      <c r="K27">
        <f>'Paramètres'!$C$9</f>
        <v/>
      </c>
      <c r="M27" t="n">
        <v>22</v>
      </c>
      <c r="N27">
        <f>MAX(1,$N$3-29)+M27-1</f>
        <v/>
      </c>
      <c r="O27">
        <f>IF(AND($N$3&gt;0,N27&lt;=$N$3),1,0)</f>
        <v/>
      </c>
      <c r="P27" s="228">
        <f>IF(O27=1,N(INDEX('Check-in'!$B$12:$B$131,N27)),0)</f>
        <v/>
      </c>
      <c r="Q27">
        <f>IF(O27=1,N(INDEX('Check-in'!$C$12:$C$131,N27)),0)</f>
        <v/>
      </c>
      <c r="R27">
        <f>IF(O27=1,N(INDEX('Check-in'!$E$12:$E$131,N27)),0)</f>
        <v/>
      </c>
      <c r="S27">
        <f>IF(O27=1,N(INDEX('Check-in'!$D$12:$D$131,N27)),0)</f>
        <v/>
      </c>
    </row>
    <row r="28">
      <c r="A28" t="n">
        <v>23</v>
      </c>
      <c r="B28">
        <f>$B$3+A28-1</f>
        <v/>
      </c>
      <c r="C28">
        <f>IF(AND($B$2&gt;0,B28&lt;=$B$2),1,0)</f>
        <v/>
      </c>
      <c r="D28">
        <f>IF(C28=1,INDEX('Journal'!$A$6:$A$505,B28),"")</f>
        <v/>
      </c>
      <c r="E28">
        <f>IF($B$2=0,'Paramètres'!$C$9,'Paramètres'!$C$9+SUM('Journal'!$X$6:INDEX('Journal'!$X$6:$X$505,MIN(B28,$B$2))))</f>
        <v/>
      </c>
      <c r="F28">
        <f>IF($B$2=0,'Paramètres'!$C$9,MAX('Paramètres'!$C$9,MAX('Journal'!$AF$6:INDEX('Journal'!$AF$6:$AF$505,MIN(B28,$B$2)))))</f>
        <v/>
      </c>
      <c r="G28">
        <f>E28/F28-1</f>
        <v/>
      </c>
      <c r="H28">
        <f>IF(C28=1,N(INDEX('Journal'!$X$6:$X$505,B28)),0)</f>
        <v/>
      </c>
      <c r="I28">
        <f>MAX(H28,0)</f>
        <v/>
      </c>
      <c r="J28">
        <f>MIN(H28,0)</f>
        <v/>
      </c>
      <c r="K28">
        <f>'Paramètres'!$C$9</f>
        <v/>
      </c>
      <c r="M28" t="n">
        <v>23</v>
      </c>
      <c r="N28">
        <f>MAX(1,$N$3-29)+M28-1</f>
        <v/>
      </c>
      <c r="O28">
        <f>IF(AND($N$3&gt;0,N28&lt;=$N$3),1,0)</f>
        <v/>
      </c>
      <c r="P28" s="228">
        <f>IF(O28=1,N(INDEX('Check-in'!$B$12:$B$131,N28)),0)</f>
        <v/>
      </c>
      <c r="Q28">
        <f>IF(O28=1,N(INDEX('Check-in'!$C$12:$C$131,N28)),0)</f>
        <v/>
      </c>
      <c r="R28">
        <f>IF(O28=1,N(INDEX('Check-in'!$E$12:$E$131,N28)),0)</f>
        <v/>
      </c>
      <c r="S28">
        <f>IF(O28=1,N(INDEX('Check-in'!$D$12:$D$131,N28)),0)</f>
        <v/>
      </c>
    </row>
    <row r="29">
      <c r="A29" t="n">
        <v>24</v>
      </c>
      <c r="B29">
        <f>$B$3+A29-1</f>
        <v/>
      </c>
      <c r="C29">
        <f>IF(AND($B$2&gt;0,B29&lt;=$B$2),1,0)</f>
        <v/>
      </c>
      <c r="D29">
        <f>IF(C29=1,INDEX('Journal'!$A$6:$A$505,B29),"")</f>
        <v/>
      </c>
      <c r="E29">
        <f>IF($B$2=0,'Paramètres'!$C$9,'Paramètres'!$C$9+SUM('Journal'!$X$6:INDEX('Journal'!$X$6:$X$505,MIN(B29,$B$2))))</f>
        <v/>
      </c>
      <c r="F29">
        <f>IF($B$2=0,'Paramètres'!$C$9,MAX('Paramètres'!$C$9,MAX('Journal'!$AF$6:INDEX('Journal'!$AF$6:$AF$505,MIN(B29,$B$2)))))</f>
        <v/>
      </c>
      <c r="G29">
        <f>E29/F29-1</f>
        <v/>
      </c>
      <c r="H29">
        <f>IF(C29=1,N(INDEX('Journal'!$X$6:$X$505,B29)),0)</f>
        <v/>
      </c>
      <c r="I29">
        <f>MAX(H29,0)</f>
        <v/>
      </c>
      <c r="J29">
        <f>MIN(H29,0)</f>
        <v/>
      </c>
      <c r="K29">
        <f>'Paramètres'!$C$9</f>
        <v/>
      </c>
      <c r="M29" t="n">
        <v>24</v>
      </c>
      <c r="N29">
        <f>MAX(1,$N$3-29)+M29-1</f>
        <v/>
      </c>
      <c r="O29">
        <f>IF(AND($N$3&gt;0,N29&lt;=$N$3),1,0)</f>
        <v/>
      </c>
      <c r="P29" s="228">
        <f>IF(O29=1,N(INDEX('Check-in'!$B$12:$B$131,N29)),0)</f>
        <v/>
      </c>
      <c r="Q29">
        <f>IF(O29=1,N(INDEX('Check-in'!$C$12:$C$131,N29)),0)</f>
        <v/>
      </c>
      <c r="R29">
        <f>IF(O29=1,N(INDEX('Check-in'!$E$12:$E$131,N29)),0)</f>
        <v/>
      </c>
      <c r="S29">
        <f>IF(O29=1,N(INDEX('Check-in'!$D$12:$D$131,N29)),0)</f>
        <v/>
      </c>
    </row>
    <row r="30">
      <c r="A30" t="n">
        <v>25</v>
      </c>
      <c r="B30">
        <f>$B$3+A30-1</f>
        <v/>
      </c>
      <c r="C30">
        <f>IF(AND($B$2&gt;0,B30&lt;=$B$2),1,0)</f>
        <v/>
      </c>
      <c r="D30">
        <f>IF(C30=1,INDEX('Journal'!$A$6:$A$505,B30),"")</f>
        <v/>
      </c>
      <c r="E30">
        <f>IF($B$2=0,'Paramètres'!$C$9,'Paramètres'!$C$9+SUM('Journal'!$X$6:INDEX('Journal'!$X$6:$X$505,MIN(B30,$B$2))))</f>
        <v/>
      </c>
      <c r="F30">
        <f>IF($B$2=0,'Paramètres'!$C$9,MAX('Paramètres'!$C$9,MAX('Journal'!$AF$6:INDEX('Journal'!$AF$6:$AF$505,MIN(B30,$B$2)))))</f>
        <v/>
      </c>
      <c r="G30">
        <f>E30/F30-1</f>
        <v/>
      </c>
      <c r="H30">
        <f>IF(C30=1,N(INDEX('Journal'!$X$6:$X$505,B30)),0)</f>
        <v/>
      </c>
      <c r="I30">
        <f>MAX(H30,0)</f>
        <v/>
      </c>
      <c r="J30">
        <f>MIN(H30,0)</f>
        <v/>
      </c>
      <c r="K30">
        <f>'Paramètres'!$C$9</f>
        <v/>
      </c>
      <c r="M30" t="n">
        <v>25</v>
      </c>
      <c r="N30">
        <f>MAX(1,$N$3-29)+M30-1</f>
        <v/>
      </c>
      <c r="O30">
        <f>IF(AND($N$3&gt;0,N30&lt;=$N$3),1,0)</f>
        <v/>
      </c>
      <c r="P30" s="228">
        <f>IF(O30=1,N(INDEX('Check-in'!$B$12:$B$131,N30)),0)</f>
        <v/>
      </c>
      <c r="Q30">
        <f>IF(O30=1,N(INDEX('Check-in'!$C$12:$C$131,N30)),0)</f>
        <v/>
      </c>
      <c r="R30">
        <f>IF(O30=1,N(INDEX('Check-in'!$E$12:$E$131,N30)),0)</f>
        <v/>
      </c>
      <c r="S30">
        <f>IF(O30=1,N(INDEX('Check-in'!$D$12:$D$131,N30)),0)</f>
        <v/>
      </c>
    </row>
    <row r="31">
      <c r="A31" t="n">
        <v>26</v>
      </c>
      <c r="B31">
        <f>$B$3+A31-1</f>
        <v/>
      </c>
      <c r="C31">
        <f>IF(AND($B$2&gt;0,B31&lt;=$B$2),1,0)</f>
        <v/>
      </c>
      <c r="D31">
        <f>IF(C31=1,INDEX('Journal'!$A$6:$A$505,B31),"")</f>
        <v/>
      </c>
      <c r="E31">
        <f>IF($B$2=0,'Paramètres'!$C$9,'Paramètres'!$C$9+SUM('Journal'!$X$6:INDEX('Journal'!$X$6:$X$505,MIN(B31,$B$2))))</f>
        <v/>
      </c>
      <c r="F31">
        <f>IF($B$2=0,'Paramètres'!$C$9,MAX('Paramètres'!$C$9,MAX('Journal'!$AF$6:INDEX('Journal'!$AF$6:$AF$505,MIN(B31,$B$2)))))</f>
        <v/>
      </c>
      <c r="G31">
        <f>E31/F31-1</f>
        <v/>
      </c>
      <c r="H31">
        <f>IF(C31=1,N(INDEX('Journal'!$X$6:$X$505,B31)),0)</f>
        <v/>
      </c>
      <c r="I31">
        <f>MAX(H31,0)</f>
        <v/>
      </c>
      <c r="J31">
        <f>MIN(H31,0)</f>
        <v/>
      </c>
      <c r="K31">
        <f>'Paramètres'!$C$9</f>
        <v/>
      </c>
      <c r="M31" t="n">
        <v>26</v>
      </c>
      <c r="N31">
        <f>MAX(1,$N$3-29)+M31-1</f>
        <v/>
      </c>
      <c r="O31">
        <f>IF(AND($N$3&gt;0,N31&lt;=$N$3),1,0)</f>
        <v/>
      </c>
      <c r="P31" s="228">
        <f>IF(O31=1,N(INDEX('Check-in'!$B$12:$B$131,N31)),0)</f>
        <v/>
      </c>
      <c r="Q31">
        <f>IF(O31=1,N(INDEX('Check-in'!$C$12:$C$131,N31)),0)</f>
        <v/>
      </c>
      <c r="R31">
        <f>IF(O31=1,N(INDEX('Check-in'!$E$12:$E$131,N31)),0)</f>
        <v/>
      </c>
      <c r="S31">
        <f>IF(O31=1,N(INDEX('Check-in'!$D$12:$D$131,N31)),0)</f>
        <v/>
      </c>
    </row>
    <row r="32">
      <c r="A32" t="n">
        <v>27</v>
      </c>
      <c r="B32">
        <f>$B$3+A32-1</f>
        <v/>
      </c>
      <c r="C32">
        <f>IF(AND($B$2&gt;0,B32&lt;=$B$2),1,0)</f>
        <v/>
      </c>
      <c r="D32">
        <f>IF(C32=1,INDEX('Journal'!$A$6:$A$505,B32),"")</f>
        <v/>
      </c>
      <c r="E32">
        <f>IF($B$2=0,'Paramètres'!$C$9,'Paramètres'!$C$9+SUM('Journal'!$X$6:INDEX('Journal'!$X$6:$X$505,MIN(B32,$B$2))))</f>
        <v/>
      </c>
      <c r="F32">
        <f>IF($B$2=0,'Paramètres'!$C$9,MAX('Paramètres'!$C$9,MAX('Journal'!$AF$6:INDEX('Journal'!$AF$6:$AF$505,MIN(B32,$B$2)))))</f>
        <v/>
      </c>
      <c r="G32">
        <f>E32/F32-1</f>
        <v/>
      </c>
      <c r="H32">
        <f>IF(C32=1,N(INDEX('Journal'!$X$6:$X$505,B32)),0)</f>
        <v/>
      </c>
      <c r="I32">
        <f>MAX(H32,0)</f>
        <v/>
      </c>
      <c r="J32">
        <f>MIN(H32,0)</f>
        <v/>
      </c>
      <c r="K32">
        <f>'Paramètres'!$C$9</f>
        <v/>
      </c>
      <c r="M32" t="n">
        <v>27</v>
      </c>
      <c r="N32">
        <f>MAX(1,$N$3-29)+M32-1</f>
        <v/>
      </c>
      <c r="O32">
        <f>IF(AND($N$3&gt;0,N32&lt;=$N$3),1,0)</f>
        <v/>
      </c>
      <c r="P32" s="228">
        <f>IF(O32=1,N(INDEX('Check-in'!$B$12:$B$131,N32)),0)</f>
        <v/>
      </c>
      <c r="Q32">
        <f>IF(O32=1,N(INDEX('Check-in'!$C$12:$C$131,N32)),0)</f>
        <v/>
      </c>
      <c r="R32">
        <f>IF(O32=1,N(INDEX('Check-in'!$E$12:$E$131,N32)),0)</f>
        <v/>
      </c>
      <c r="S32">
        <f>IF(O32=1,N(INDEX('Check-in'!$D$12:$D$131,N32)),0)</f>
        <v/>
      </c>
    </row>
    <row r="33">
      <c r="A33" t="n">
        <v>28</v>
      </c>
      <c r="B33">
        <f>$B$3+A33-1</f>
        <v/>
      </c>
      <c r="C33">
        <f>IF(AND($B$2&gt;0,B33&lt;=$B$2),1,0)</f>
        <v/>
      </c>
      <c r="D33">
        <f>IF(C33=1,INDEX('Journal'!$A$6:$A$505,B33),"")</f>
        <v/>
      </c>
      <c r="E33">
        <f>IF($B$2=0,'Paramètres'!$C$9,'Paramètres'!$C$9+SUM('Journal'!$X$6:INDEX('Journal'!$X$6:$X$505,MIN(B33,$B$2))))</f>
        <v/>
      </c>
      <c r="F33">
        <f>IF($B$2=0,'Paramètres'!$C$9,MAX('Paramètres'!$C$9,MAX('Journal'!$AF$6:INDEX('Journal'!$AF$6:$AF$505,MIN(B33,$B$2)))))</f>
        <v/>
      </c>
      <c r="G33">
        <f>E33/F33-1</f>
        <v/>
      </c>
      <c r="H33">
        <f>IF(C33=1,N(INDEX('Journal'!$X$6:$X$505,B33)),0)</f>
        <v/>
      </c>
      <c r="I33">
        <f>MAX(H33,0)</f>
        <v/>
      </c>
      <c r="J33">
        <f>MIN(H33,0)</f>
        <v/>
      </c>
      <c r="K33">
        <f>'Paramètres'!$C$9</f>
        <v/>
      </c>
      <c r="M33" t="n">
        <v>28</v>
      </c>
      <c r="N33">
        <f>MAX(1,$N$3-29)+M33-1</f>
        <v/>
      </c>
      <c r="O33">
        <f>IF(AND($N$3&gt;0,N33&lt;=$N$3),1,0)</f>
        <v/>
      </c>
      <c r="P33" s="228">
        <f>IF(O33=1,N(INDEX('Check-in'!$B$12:$B$131,N33)),0)</f>
        <v/>
      </c>
      <c r="Q33">
        <f>IF(O33=1,N(INDEX('Check-in'!$C$12:$C$131,N33)),0)</f>
        <v/>
      </c>
      <c r="R33">
        <f>IF(O33=1,N(INDEX('Check-in'!$E$12:$E$131,N33)),0)</f>
        <v/>
      </c>
      <c r="S33">
        <f>IF(O33=1,N(INDEX('Check-in'!$D$12:$D$131,N33)),0)</f>
        <v/>
      </c>
    </row>
    <row r="34">
      <c r="A34" t="n">
        <v>29</v>
      </c>
      <c r="B34">
        <f>$B$3+A34-1</f>
        <v/>
      </c>
      <c r="C34">
        <f>IF(AND($B$2&gt;0,B34&lt;=$B$2),1,0)</f>
        <v/>
      </c>
      <c r="D34">
        <f>IF(C34=1,INDEX('Journal'!$A$6:$A$505,B34),"")</f>
        <v/>
      </c>
      <c r="E34">
        <f>IF($B$2=0,'Paramètres'!$C$9,'Paramètres'!$C$9+SUM('Journal'!$X$6:INDEX('Journal'!$X$6:$X$505,MIN(B34,$B$2))))</f>
        <v/>
      </c>
      <c r="F34">
        <f>IF($B$2=0,'Paramètres'!$C$9,MAX('Paramètres'!$C$9,MAX('Journal'!$AF$6:INDEX('Journal'!$AF$6:$AF$505,MIN(B34,$B$2)))))</f>
        <v/>
      </c>
      <c r="G34">
        <f>E34/F34-1</f>
        <v/>
      </c>
      <c r="H34">
        <f>IF(C34=1,N(INDEX('Journal'!$X$6:$X$505,B34)),0)</f>
        <v/>
      </c>
      <c r="I34">
        <f>MAX(H34,0)</f>
        <v/>
      </c>
      <c r="J34">
        <f>MIN(H34,0)</f>
        <v/>
      </c>
      <c r="K34">
        <f>'Paramètres'!$C$9</f>
        <v/>
      </c>
      <c r="M34" t="n">
        <v>29</v>
      </c>
      <c r="N34">
        <f>MAX(1,$N$3-29)+M34-1</f>
        <v/>
      </c>
      <c r="O34">
        <f>IF(AND($N$3&gt;0,N34&lt;=$N$3),1,0)</f>
        <v/>
      </c>
      <c r="P34" s="228">
        <f>IF(O34=1,N(INDEX('Check-in'!$B$12:$B$131,N34)),0)</f>
        <v/>
      </c>
      <c r="Q34">
        <f>IF(O34=1,N(INDEX('Check-in'!$C$12:$C$131,N34)),0)</f>
        <v/>
      </c>
      <c r="R34">
        <f>IF(O34=1,N(INDEX('Check-in'!$E$12:$E$131,N34)),0)</f>
        <v/>
      </c>
      <c r="S34">
        <f>IF(O34=1,N(INDEX('Check-in'!$D$12:$D$131,N34)),0)</f>
        <v/>
      </c>
    </row>
    <row r="35">
      <c r="A35" t="n">
        <v>30</v>
      </c>
      <c r="B35">
        <f>$B$3+A35-1</f>
        <v/>
      </c>
      <c r="C35">
        <f>IF(AND($B$2&gt;0,B35&lt;=$B$2),1,0)</f>
        <v/>
      </c>
      <c r="D35">
        <f>IF(C35=1,INDEX('Journal'!$A$6:$A$505,B35),"")</f>
        <v/>
      </c>
      <c r="E35">
        <f>IF($B$2=0,'Paramètres'!$C$9,'Paramètres'!$C$9+SUM('Journal'!$X$6:INDEX('Journal'!$X$6:$X$505,MIN(B35,$B$2))))</f>
        <v/>
      </c>
      <c r="F35">
        <f>IF($B$2=0,'Paramètres'!$C$9,MAX('Paramètres'!$C$9,MAX('Journal'!$AF$6:INDEX('Journal'!$AF$6:$AF$505,MIN(B35,$B$2)))))</f>
        <v/>
      </c>
      <c r="G35">
        <f>E35/F35-1</f>
        <v/>
      </c>
      <c r="H35">
        <f>IF(C35=1,N(INDEX('Journal'!$X$6:$X$505,B35)),0)</f>
        <v/>
      </c>
      <c r="I35">
        <f>MAX(H35,0)</f>
        <v/>
      </c>
      <c r="J35">
        <f>MIN(H35,0)</f>
        <v/>
      </c>
      <c r="K35">
        <f>'Paramètres'!$C$9</f>
        <v/>
      </c>
      <c r="M35" t="n">
        <v>30</v>
      </c>
      <c r="N35">
        <f>MAX(1,$N$3-29)+M35-1</f>
        <v/>
      </c>
      <c r="O35">
        <f>IF(AND($N$3&gt;0,N35&lt;=$N$3),1,0)</f>
        <v/>
      </c>
      <c r="P35" s="228">
        <f>IF(O35=1,N(INDEX('Check-in'!$B$12:$B$131,N35)),0)</f>
        <v/>
      </c>
      <c r="Q35">
        <f>IF(O35=1,N(INDEX('Check-in'!$C$12:$C$131,N35)),0)</f>
        <v/>
      </c>
      <c r="R35">
        <f>IF(O35=1,N(INDEX('Check-in'!$E$12:$E$131,N35)),0)</f>
        <v/>
      </c>
      <c r="S35">
        <f>IF(O35=1,N(INDEX('Check-in'!$D$12:$D$131,N35)),0)</f>
        <v/>
      </c>
    </row>
    <row r="36">
      <c r="A36" t="n">
        <v>31</v>
      </c>
      <c r="B36">
        <f>$B$3+A36-1</f>
        <v/>
      </c>
      <c r="C36">
        <f>IF(AND($B$2&gt;0,B36&lt;=$B$2),1,0)</f>
        <v/>
      </c>
      <c r="D36">
        <f>IF(C36=1,INDEX('Journal'!$A$6:$A$505,B36),"")</f>
        <v/>
      </c>
      <c r="E36">
        <f>IF($B$2=0,'Paramètres'!$C$9,'Paramètres'!$C$9+SUM('Journal'!$X$6:INDEX('Journal'!$X$6:$X$505,MIN(B36,$B$2))))</f>
        <v/>
      </c>
      <c r="F36">
        <f>IF($B$2=0,'Paramètres'!$C$9,MAX('Paramètres'!$C$9,MAX('Journal'!$AF$6:INDEX('Journal'!$AF$6:$AF$505,MIN(B36,$B$2)))))</f>
        <v/>
      </c>
      <c r="G36">
        <f>E36/F36-1</f>
        <v/>
      </c>
      <c r="H36">
        <f>IF(C36=1,N(INDEX('Journal'!$X$6:$X$505,B36)),0)</f>
        <v/>
      </c>
      <c r="I36">
        <f>MAX(H36,0)</f>
        <v/>
      </c>
      <c r="J36">
        <f>MIN(H36,0)</f>
        <v/>
      </c>
      <c r="K36">
        <f>'Paramètres'!$C$9</f>
        <v/>
      </c>
    </row>
    <row r="37">
      <c r="A37" t="n">
        <v>32</v>
      </c>
      <c r="B37">
        <f>$B$3+A37-1</f>
        <v/>
      </c>
      <c r="C37">
        <f>IF(AND($B$2&gt;0,B37&lt;=$B$2),1,0)</f>
        <v/>
      </c>
      <c r="D37">
        <f>IF(C37=1,INDEX('Journal'!$A$6:$A$505,B37),"")</f>
        <v/>
      </c>
      <c r="E37">
        <f>IF($B$2=0,'Paramètres'!$C$9,'Paramètres'!$C$9+SUM('Journal'!$X$6:INDEX('Journal'!$X$6:$X$505,MIN(B37,$B$2))))</f>
        <v/>
      </c>
      <c r="F37">
        <f>IF($B$2=0,'Paramètres'!$C$9,MAX('Paramètres'!$C$9,MAX('Journal'!$AF$6:INDEX('Journal'!$AF$6:$AF$505,MIN(B37,$B$2)))))</f>
        <v/>
      </c>
      <c r="G37">
        <f>E37/F37-1</f>
        <v/>
      </c>
      <c r="H37">
        <f>IF(C37=1,N(INDEX('Journal'!$X$6:$X$505,B37)),0)</f>
        <v/>
      </c>
      <c r="I37">
        <f>MAX(H37,0)</f>
        <v/>
      </c>
      <c r="J37">
        <f>MIN(H37,0)</f>
        <v/>
      </c>
      <c r="K37">
        <f>'Paramètres'!$C$9</f>
        <v/>
      </c>
    </row>
    <row r="38">
      <c r="A38" t="n">
        <v>33</v>
      </c>
      <c r="B38">
        <f>$B$3+A38-1</f>
        <v/>
      </c>
      <c r="C38">
        <f>IF(AND($B$2&gt;0,B38&lt;=$B$2),1,0)</f>
        <v/>
      </c>
      <c r="D38">
        <f>IF(C38=1,INDEX('Journal'!$A$6:$A$505,B38),"")</f>
        <v/>
      </c>
      <c r="E38">
        <f>IF($B$2=0,'Paramètres'!$C$9,'Paramètres'!$C$9+SUM('Journal'!$X$6:INDEX('Journal'!$X$6:$X$505,MIN(B38,$B$2))))</f>
        <v/>
      </c>
      <c r="F38">
        <f>IF($B$2=0,'Paramètres'!$C$9,MAX('Paramètres'!$C$9,MAX('Journal'!$AF$6:INDEX('Journal'!$AF$6:$AF$505,MIN(B38,$B$2)))))</f>
        <v/>
      </c>
      <c r="G38">
        <f>E38/F38-1</f>
        <v/>
      </c>
      <c r="H38">
        <f>IF(C38=1,N(INDEX('Journal'!$X$6:$X$505,B38)),0)</f>
        <v/>
      </c>
      <c r="I38">
        <f>MAX(H38,0)</f>
        <v/>
      </c>
      <c r="J38">
        <f>MIN(H38,0)</f>
        <v/>
      </c>
      <c r="K38">
        <f>'Paramètres'!$C$9</f>
        <v/>
      </c>
    </row>
    <row r="39">
      <c r="A39" t="n">
        <v>34</v>
      </c>
      <c r="B39">
        <f>$B$3+A39-1</f>
        <v/>
      </c>
      <c r="C39">
        <f>IF(AND($B$2&gt;0,B39&lt;=$B$2),1,0)</f>
        <v/>
      </c>
      <c r="D39">
        <f>IF(C39=1,INDEX('Journal'!$A$6:$A$505,B39),"")</f>
        <v/>
      </c>
      <c r="E39">
        <f>IF($B$2=0,'Paramètres'!$C$9,'Paramètres'!$C$9+SUM('Journal'!$X$6:INDEX('Journal'!$X$6:$X$505,MIN(B39,$B$2))))</f>
        <v/>
      </c>
      <c r="F39">
        <f>IF($B$2=0,'Paramètres'!$C$9,MAX('Paramètres'!$C$9,MAX('Journal'!$AF$6:INDEX('Journal'!$AF$6:$AF$505,MIN(B39,$B$2)))))</f>
        <v/>
      </c>
      <c r="G39">
        <f>E39/F39-1</f>
        <v/>
      </c>
      <c r="H39">
        <f>IF(C39=1,N(INDEX('Journal'!$X$6:$X$505,B39)),0)</f>
        <v/>
      </c>
      <c r="I39">
        <f>MAX(H39,0)</f>
        <v/>
      </c>
      <c r="J39">
        <f>MIN(H39,0)</f>
        <v/>
      </c>
      <c r="K39">
        <f>'Paramètres'!$C$9</f>
        <v/>
      </c>
    </row>
    <row r="40">
      <c r="A40" t="n">
        <v>35</v>
      </c>
      <c r="B40">
        <f>$B$3+A40-1</f>
        <v/>
      </c>
      <c r="C40">
        <f>IF(AND($B$2&gt;0,B40&lt;=$B$2),1,0)</f>
        <v/>
      </c>
      <c r="D40">
        <f>IF(C40=1,INDEX('Journal'!$A$6:$A$505,B40),"")</f>
        <v/>
      </c>
      <c r="E40">
        <f>IF($B$2=0,'Paramètres'!$C$9,'Paramètres'!$C$9+SUM('Journal'!$X$6:INDEX('Journal'!$X$6:$X$505,MIN(B40,$B$2))))</f>
        <v/>
      </c>
      <c r="F40">
        <f>IF($B$2=0,'Paramètres'!$C$9,MAX('Paramètres'!$C$9,MAX('Journal'!$AF$6:INDEX('Journal'!$AF$6:$AF$505,MIN(B40,$B$2)))))</f>
        <v/>
      </c>
      <c r="G40">
        <f>E40/F40-1</f>
        <v/>
      </c>
      <c r="H40">
        <f>IF(C40=1,N(INDEX('Journal'!$X$6:$X$505,B40)),0)</f>
        <v/>
      </c>
      <c r="I40">
        <f>MAX(H40,0)</f>
        <v/>
      </c>
      <c r="J40">
        <f>MIN(H40,0)</f>
        <v/>
      </c>
      <c r="K40">
        <f>'Paramètres'!$C$9</f>
        <v/>
      </c>
    </row>
    <row r="41">
      <c r="A41" t="n">
        <v>36</v>
      </c>
      <c r="B41">
        <f>$B$3+A41-1</f>
        <v/>
      </c>
      <c r="C41">
        <f>IF(AND($B$2&gt;0,B41&lt;=$B$2),1,0)</f>
        <v/>
      </c>
      <c r="D41">
        <f>IF(C41=1,INDEX('Journal'!$A$6:$A$505,B41),"")</f>
        <v/>
      </c>
      <c r="E41">
        <f>IF($B$2=0,'Paramètres'!$C$9,'Paramètres'!$C$9+SUM('Journal'!$X$6:INDEX('Journal'!$X$6:$X$505,MIN(B41,$B$2))))</f>
        <v/>
      </c>
      <c r="F41">
        <f>IF($B$2=0,'Paramètres'!$C$9,MAX('Paramètres'!$C$9,MAX('Journal'!$AF$6:INDEX('Journal'!$AF$6:$AF$505,MIN(B41,$B$2)))))</f>
        <v/>
      </c>
      <c r="G41">
        <f>E41/F41-1</f>
        <v/>
      </c>
      <c r="H41">
        <f>IF(C41=1,N(INDEX('Journal'!$X$6:$X$505,B41)),0)</f>
        <v/>
      </c>
      <c r="I41">
        <f>MAX(H41,0)</f>
        <v/>
      </c>
      <c r="J41">
        <f>MIN(H41,0)</f>
        <v/>
      </c>
      <c r="K41">
        <f>'Paramètres'!$C$9</f>
        <v/>
      </c>
    </row>
    <row r="42">
      <c r="A42" t="n">
        <v>37</v>
      </c>
      <c r="B42">
        <f>$B$3+A42-1</f>
        <v/>
      </c>
      <c r="C42">
        <f>IF(AND($B$2&gt;0,B42&lt;=$B$2),1,0)</f>
        <v/>
      </c>
      <c r="D42">
        <f>IF(C42=1,INDEX('Journal'!$A$6:$A$505,B42),"")</f>
        <v/>
      </c>
      <c r="E42">
        <f>IF($B$2=0,'Paramètres'!$C$9,'Paramètres'!$C$9+SUM('Journal'!$X$6:INDEX('Journal'!$X$6:$X$505,MIN(B42,$B$2))))</f>
        <v/>
      </c>
      <c r="F42">
        <f>IF($B$2=0,'Paramètres'!$C$9,MAX('Paramètres'!$C$9,MAX('Journal'!$AF$6:INDEX('Journal'!$AF$6:$AF$505,MIN(B42,$B$2)))))</f>
        <v/>
      </c>
      <c r="G42">
        <f>E42/F42-1</f>
        <v/>
      </c>
      <c r="H42">
        <f>IF(C42=1,N(INDEX('Journal'!$X$6:$X$505,B42)),0)</f>
        <v/>
      </c>
      <c r="I42">
        <f>MAX(H42,0)</f>
        <v/>
      </c>
      <c r="J42">
        <f>MIN(H42,0)</f>
        <v/>
      </c>
      <c r="K42">
        <f>'Paramètres'!$C$9</f>
        <v/>
      </c>
    </row>
    <row r="43">
      <c r="A43" t="n">
        <v>38</v>
      </c>
      <c r="B43">
        <f>$B$3+A43-1</f>
        <v/>
      </c>
      <c r="C43">
        <f>IF(AND($B$2&gt;0,B43&lt;=$B$2),1,0)</f>
        <v/>
      </c>
      <c r="D43">
        <f>IF(C43=1,INDEX('Journal'!$A$6:$A$505,B43),"")</f>
        <v/>
      </c>
      <c r="E43">
        <f>IF($B$2=0,'Paramètres'!$C$9,'Paramètres'!$C$9+SUM('Journal'!$X$6:INDEX('Journal'!$X$6:$X$505,MIN(B43,$B$2))))</f>
        <v/>
      </c>
      <c r="F43">
        <f>IF($B$2=0,'Paramètres'!$C$9,MAX('Paramètres'!$C$9,MAX('Journal'!$AF$6:INDEX('Journal'!$AF$6:$AF$505,MIN(B43,$B$2)))))</f>
        <v/>
      </c>
      <c r="G43">
        <f>E43/F43-1</f>
        <v/>
      </c>
      <c r="H43">
        <f>IF(C43=1,N(INDEX('Journal'!$X$6:$X$505,B43)),0)</f>
        <v/>
      </c>
      <c r="I43">
        <f>MAX(H43,0)</f>
        <v/>
      </c>
      <c r="J43">
        <f>MIN(H43,0)</f>
        <v/>
      </c>
      <c r="K43">
        <f>'Paramètres'!$C$9</f>
        <v/>
      </c>
    </row>
    <row r="44">
      <c r="A44" t="n">
        <v>39</v>
      </c>
      <c r="B44">
        <f>$B$3+A44-1</f>
        <v/>
      </c>
      <c r="C44">
        <f>IF(AND($B$2&gt;0,B44&lt;=$B$2),1,0)</f>
        <v/>
      </c>
      <c r="D44">
        <f>IF(C44=1,INDEX('Journal'!$A$6:$A$505,B44),"")</f>
        <v/>
      </c>
      <c r="E44">
        <f>IF($B$2=0,'Paramètres'!$C$9,'Paramètres'!$C$9+SUM('Journal'!$X$6:INDEX('Journal'!$X$6:$X$505,MIN(B44,$B$2))))</f>
        <v/>
      </c>
      <c r="F44">
        <f>IF($B$2=0,'Paramètres'!$C$9,MAX('Paramètres'!$C$9,MAX('Journal'!$AF$6:INDEX('Journal'!$AF$6:$AF$505,MIN(B44,$B$2)))))</f>
        <v/>
      </c>
      <c r="G44">
        <f>E44/F44-1</f>
        <v/>
      </c>
      <c r="H44">
        <f>IF(C44=1,N(INDEX('Journal'!$X$6:$X$505,B44)),0)</f>
        <v/>
      </c>
      <c r="I44">
        <f>MAX(H44,0)</f>
        <v/>
      </c>
      <c r="J44">
        <f>MIN(H44,0)</f>
        <v/>
      </c>
      <c r="K44">
        <f>'Paramètres'!$C$9</f>
        <v/>
      </c>
    </row>
    <row r="45">
      <c r="A45" t="n">
        <v>40</v>
      </c>
      <c r="B45">
        <f>$B$3+A45-1</f>
        <v/>
      </c>
      <c r="C45">
        <f>IF(AND($B$2&gt;0,B45&lt;=$B$2),1,0)</f>
        <v/>
      </c>
      <c r="D45">
        <f>IF(C45=1,INDEX('Journal'!$A$6:$A$505,B45),"")</f>
        <v/>
      </c>
      <c r="E45">
        <f>IF($B$2=0,'Paramètres'!$C$9,'Paramètres'!$C$9+SUM('Journal'!$X$6:INDEX('Journal'!$X$6:$X$505,MIN(B45,$B$2))))</f>
        <v/>
      </c>
      <c r="F45">
        <f>IF($B$2=0,'Paramètres'!$C$9,MAX('Paramètres'!$C$9,MAX('Journal'!$AF$6:INDEX('Journal'!$AF$6:$AF$505,MIN(B45,$B$2)))))</f>
        <v/>
      </c>
      <c r="G45">
        <f>E45/F45-1</f>
        <v/>
      </c>
      <c r="H45">
        <f>IF(C45=1,N(INDEX('Journal'!$X$6:$X$505,B45)),0)</f>
        <v/>
      </c>
      <c r="I45">
        <f>MAX(H45,0)</f>
        <v/>
      </c>
      <c r="J45">
        <f>MIN(H45,0)</f>
        <v/>
      </c>
      <c r="K45">
        <f>'Paramètres'!$C$9</f>
        <v/>
      </c>
    </row>
    <row r="46">
      <c r="A46" t="n">
        <v>41</v>
      </c>
      <c r="B46">
        <f>$B$3+A46-1</f>
        <v/>
      </c>
      <c r="C46">
        <f>IF(AND($B$2&gt;0,B46&lt;=$B$2),1,0)</f>
        <v/>
      </c>
      <c r="D46">
        <f>IF(C46=1,INDEX('Journal'!$A$6:$A$505,B46),"")</f>
        <v/>
      </c>
      <c r="E46">
        <f>IF($B$2=0,'Paramètres'!$C$9,'Paramètres'!$C$9+SUM('Journal'!$X$6:INDEX('Journal'!$X$6:$X$505,MIN(B46,$B$2))))</f>
        <v/>
      </c>
      <c r="F46">
        <f>IF($B$2=0,'Paramètres'!$C$9,MAX('Paramètres'!$C$9,MAX('Journal'!$AF$6:INDEX('Journal'!$AF$6:$AF$505,MIN(B46,$B$2)))))</f>
        <v/>
      </c>
      <c r="G46">
        <f>E46/F46-1</f>
        <v/>
      </c>
      <c r="H46">
        <f>IF(C46=1,N(INDEX('Journal'!$X$6:$X$505,B46)),0)</f>
        <v/>
      </c>
      <c r="I46">
        <f>MAX(H46,0)</f>
        <v/>
      </c>
      <c r="J46">
        <f>MIN(H46,0)</f>
        <v/>
      </c>
      <c r="K46">
        <f>'Paramètres'!$C$9</f>
        <v/>
      </c>
    </row>
    <row r="47">
      <c r="A47" t="n">
        <v>42</v>
      </c>
      <c r="B47">
        <f>$B$3+A47-1</f>
        <v/>
      </c>
      <c r="C47">
        <f>IF(AND($B$2&gt;0,B47&lt;=$B$2),1,0)</f>
        <v/>
      </c>
      <c r="D47">
        <f>IF(C47=1,INDEX('Journal'!$A$6:$A$505,B47),"")</f>
        <v/>
      </c>
      <c r="E47">
        <f>IF($B$2=0,'Paramètres'!$C$9,'Paramètres'!$C$9+SUM('Journal'!$X$6:INDEX('Journal'!$X$6:$X$505,MIN(B47,$B$2))))</f>
        <v/>
      </c>
      <c r="F47">
        <f>IF($B$2=0,'Paramètres'!$C$9,MAX('Paramètres'!$C$9,MAX('Journal'!$AF$6:INDEX('Journal'!$AF$6:$AF$505,MIN(B47,$B$2)))))</f>
        <v/>
      </c>
      <c r="G47">
        <f>E47/F47-1</f>
        <v/>
      </c>
      <c r="H47">
        <f>IF(C47=1,N(INDEX('Journal'!$X$6:$X$505,B47)),0)</f>
        <v/>
      </c>
      <c r="I47">
        <f>MAX(H47,0)</f>
        <v/>
      </c>
      <c r="J47">
        <f>MIN(H47,0)</f>
        <v/>
      </c>
      <c r="K47">
        <f>'Paramètres'!$C$9</f>
        <v/>
      </c>
    </row>
    <row r="48">
      <c r="A48" t="n">
        <v>43</v>
      </c>
      <c r="B48">
        <f>$B$3+A48-1</f>
        <v/>
      </c>
      <c r="C48">
        <f>IF(AND($B$2&gt;0,B48&lt;=$B$2),1,0)</f>
        <v/>
      </c>
      <c r="D48">
        <f>IF(C48=1,INDEX('Journal'!$A$6:$A$505,B48),"")</f>
        <v/>
      </c>
      <c r="E48">
        <f>IF($B$2=0,'Paramètres'!$C$9,'Paramètres'!$C$9+SUM('Journal'!$X$6:INDEX('Journal'!$X$6:$X$505,MIN(B48,$B$2))))</f>
        <v/>
      </c>
      <c r="F48">
        <f>IF($B$2=0,'Paramètres'!$C$9,MAX('Paramètres'!$C$9,MAX('Journal'!$AF$6:INDEX('Journal'!$AF$6:$AF$505,MIN(B48,$B$2)))))</f>
        <v/>
      </c>
      <c r="G48">
        <f>E48/F48-1</f>
        <v/>
      </c>
      <c r="H48">
        <f>IF(C48=1,N(INDEX('Journal'!$X$6:$X$505,B48)),0)</f>
        <v/>
      </c>
      <c r="I48">
        <f>MAX(H48,0)</f>
        <v/>
      </c>
      <c r="J48">
        <f>MIN(H48,0)</f>
        <v/>
      </c>
      <c r="K48">
        <f>'Paramètres'!$C$9</f>
        <v/>
      </c>
    </row>
    <row r="49">
      <c r="A49" t="n">
        <v>44</v>
      </c>
      <c r="B49">
        <f>$B$3+A49-1</f>
        <v/>
      </c>
      <c r="C49">
        <f>IF(AND($B$2&gt;0,B49&lt;=$B$2),1,0)</f>
        <v/>
      </c>
      <c r="D49">
        <f>IF(C49=1,INDEX('Journal'!$A$6:$A$505,B49),"")</f>
        <v/>
      </c>
      <c r="E49">
        <f>IF($B$2=0,'Paramètres'!$C$9,'Paramètres'!$C$9+SUM('Journal'!$X$6:INDEX('Journal'!$X$6:$X$505,MIN(B49,$B$2))))</f>
        <v/>
      </c>
      <c r="F49">
        <f>IF($B$2=0,'Paramètres'!$C$9,MAX('Paramètres'!$C$9,MAX('Journal'!$AF$6:INDEX('Journal'!$AF$6:$AF$505,MIN(B49,$B$2)))))</f>
        <v/>
      </c>
      <c r="G49">
        <f>E49/F49-1</f>
        <v/>
      </c>
      <c r="H49">
        <f>IF(C49=1,N(INDEX('Journal'!$X$6:$X$505,B49)),0)</f>
        <v/>
      </c>
      <c r="I49">
        <f>MAX(H49,0)</f>
        <v/>
      </c>
      <c r="J49">
        <f>MIN(H49,0)</f>
        <v/>
      </c>
      <c r="K49">
        <f>'Paramètres'!$C$9</f>
        <v/>
      </c>
    </row>
    <row r="50">
      <c r="A50" t="n">
        <v>45</v>
      </c>
      <c r="B50">
        <f>$B$3+A50-1</f>
        <v/>
      </c>
      <c r="C50">
        <f>IF(AND($B$2&gt;0,B50&lt;=$B$2),1,0)</f>
        <v/>
      </c>
      <c r="D50">
        <f>IF(C50=1,INDEX('Journal'!$A$6:$A$505,B50),"")</f>
        <v/>
      </c>
      <c r="E50">
        <f>IF($B$2=0,'Paramètres'!$C$9,'Paramètres'!$C$9+SUM('Journal'!$X$6:INDEX('Journal'!$X$6:$X$505,MIN(B50,$B$2))))</f>
        <v/>
      </c>
      <c r="F50">
        <f>IF($B$2=0,'Paramètres'!$C$9,MAX('Paramètres'!$C$9,MAX('Journal'!$AF$6:INDEX('Journal'!$AF$6:$AF$505,MIN(B50,$B$2)))))</f>
        <v/>
      </c>
      <c r="G50">
        <f>E50/F50-1</f>
        <v/>
      </c>
      <c r="H50">
        <f>IF(C50=1,N(INDEX('Journal'!$X$6:$X$505,B50)),0)</f>
        <v/>
      </c>
      <c r="I50">
        <f>MAX(H50,0)</f>
        <v/>
      </c>
      <c r="J50">
        <f>MIN(H50,0)</f>
        <v/>
      </c>
      <c r="K50">
        <f>'Paramètres'!$C$9</f>
        <v/>
      </c>
    </row>
    <row r="51">
      <c r="A51" t="n">
        <v>46</v>
      </c>
      <c r="B51">
        <f>$B$3+A51-1</f>
        <v/>
      </c>
      <c r="C51">
        <f>IF(AND($B$2&gt;0,B51&lt;=$B$2),1,0)</f>
        <v/>
      </c>
      <c r="D51">
        <f>IF(C51=1,INDEX('Journal'!$A$6:$A$505,B51),"")</f>
        <v/>
      </c>
      <c r="E51">
        <f>IF($B$2=0,'Paramètres'!$C$9,'Paramètres'!$C$9+SUM('Journal'!$X$6:INDEX('Journal'!$X$6:$X$505,MIN(B51,$B$2))))</f>
        <v/>
      </c>
      <c r="F51">
        <f>IF($B$2=0,'Paramètres'!$C$9,MAX('Paramètres'!$C$9,MAX('Journal'!$AF$6:INDEX('Journal'!$AF$6:$AF$505,MIN(B51,$B$2)))))</f>
        <v/>
      </c>
      <c r="G51">
        <f>E51/F51-1</f>
        <v/>
      </c>
      <c r="H51">
        <f>IF(C51=1,N(INDEX('Journal'!$X$6:$X$505,B51)),0)</f>
        <v/>
      </c>
      <c r="I51">
        <f>MAX(H51,0)</f>
        <v/>
      </c>
      <c r="J51">
        <f>MIN(H51,0)</f>
        <v/>
      </c>
      <c r="K51">
        <f>'Paramètres'!$C$9</f>
        <v/>
      </c>
    </row>
    <row r="52">
      <c r="A52" t="n">
        <v>47</v>
      </c>
      <c r="B52">
        <f>$B$3+A52-1</f>
        <v/>
      </c>
      <c r="C52">
        <f>IF(AND($B$2&gt;0,B52&lt;=$B$2),1,0)</f>
        <v/>
      </c>
      <c r="D52">
        <f>IF(C52=1,INDEX('Journal'!$A$6:$A$505,B52),"")</f>
        <v/>
      </c>
      <c r="E52">
        <f>IF($B$2=0,'Paramètres'!$C$9,'Paramètres'!$C$9+SUM('Journal'!$X$6:INDEX('Journal'!$X$6:$X$505,MIN(B52,$B$2))))</f>
        <v/>
      </c>
      <c r="F52">
        <f>IF($B$2=0,'Paramètres'!$C$9,MAX('Paramètres'!$C$9,MAX('Journal'!$AF$6:INDEX('Journal'!$AF$6:$AF$505,MIN(B52,$B$2)))))</f>
        <v/>
      </c>
      <c r="G52">
        <f>E52/F52-1</f>
        <v/>
      </c>
      <c r="H52">
        <f>IF(C52=1,N(INDEX('Journal'!$X$6:$X$505,B52)),0)</f>
        <v/>
      </c>
      <c r="I52">
        <f>MAX(H52,0)</f>
        <v/>
      </c>
      <c r="J52">
        <f>MIN(H52,0)</f>
        <v/>
      </c>
      <c r="K52">
        <f>'Paramètres'!$C$9</f>
        <v/>
      </c>
    </row>
    <row r="53">
      <c r="A53" t="n">
        <v>48</v>
      </c>
      <c r="B53">
        <f>$B$3+A53-1</f>
        <v/>
      </c>
      <c r="C53">
        <f>IF(AND($B$2&gt;0,B53&lt;=$B$2),1,0)</f>
        <v/>
      </c>
      <c r="D53">
        <f>IF(C53=1,INDEX('Journal'!$A$6:$A$505,B53),"")</f>
        <v/>
      </c>
      <c r="E53">
        <f>IF($B$2=0,'Paramètres'!$C$9,'Paramètres'!$C$9+SUM('Journal'!$X$6:INDEX('Journal'!$X$6:$X$505,MIN(B53,$B$2))))</f>
        <v/>
      </c>
      <c r="F53">
        <f>IF($B$2=0,'Paramètres'!$C$9,MAX('Paramètres'!$C$9,MAX('Journal'!$AF$6:INDEX('Journal'!$AF$6:$AF$505,MIN(B53,$B$2)))))</f>
        <v/>
      </c>
      <c r="G53">
        <f>E53/F53-1</f>
        <v/>
      </c>
      <c r="H53">
        <f>IF(C53=1,N(INDEX('Journal'!$X$6:$X$505,B53)),0)</f>
        <v/>
      </c>
      <c r="I53">
        <f>MAX(H53,0)</f>
        <v/>
      </c>
      <c r="J53">
        <f>MIN(H53,0)</f>
        <v/>
      </c>
      <c r="K53">
        <f>'Paramètres'!$C$9</f>
        <v/>
      </c>
    </row>
    <row r="54">
      <c r="A54" t="n">
        <v>49</v>
      </c>
      <c r="B54">
        <f>$B$3+A54-1</f>
        <v/>
      </c>
      <c r="C54">
        <f>IF(AND($B$2&gt;0,B54&lt;=$B$2),1,0)</f>
        <v/>
      </c>
      <c r="D54">
        <f>IF(C54=1,INDEX('Journal'!$A$6:$A$505,B54),"")</f>
        <v/>
      </c>
      <c r="E54">
        <f>IF($B$2=0,'Paramètres'!$C$9,'Paramètres'!$C$9+SUM('Journal'!$X$6:INDEX('Journal'!$X$6:$X$505,MIN(B54,$B$2))))</f>
        <v/>
      </c>
      <c r="F54">
        <f>IF($B$2=0,'Paramètres'!$C$9,MAX('Paramètres'!$C$9,MAX('Journal'!$AF$6:INDEX('Journal'!$AF$6:$AF$505,MIN(B54,$B$2)))))</f>
        <v/>
      </c>
      <c r="G54">
        <f>E54/F54-1</f>
        <v/>
      </c>
      <c r="H54">
        <f>IF(C54=1,N(INDEX('Journal'!$X$6:$X$505,B54)),0)</f>
        <v/>
      </c>
      <c r="I54">
        <f>MAX(H54,0)</f>
        <v/>
      </c>
      <c r="J54">
        <f>MIN(H54,0)</f>
        <v/>
      </c>
      <c r="K54">
        <f>'Paramètres'!$C$9</f>
        <v/>
      </c>
    </row>
    <row r="55">
      <c r="A55" t="n">
        <v>50</v>
      </c>
      <c r="B55">
        <f>$B$3+A55-1</f>
        <v/>
      </c>
      <c r="C55">
        <f>IF(AND($B$2&gt;0,B55&lt;=$B$2),1,0)</f>
        <v/>
      </c>
      <c r="D55">
        <f>IF(C55=1,INDEX('Journal'!$A$6:$A$505,B55),"")</f>
        <v/>
      </c>
      <c r="E55">
        <f>IF($B$2=0,'Paramètres'!$C$9,'Paramètres'!$C$9+SUM('Journal'!$X$6:INDEX('Journal'!$X$6:$X$505,MIN(B55,$B$2))))</f>
        <v/>
      </c>
      <c r="F55">
        <f>IF($B$2=0,'Paramètres'!$C$9,MAX('Paramètres'!$C$9,MAX('Journal'!$AF$6:INDEX('Journal'!$AF$6:$AF$505,MIN(B55,$B$2)))))</f>
        <v/>
      </c>
      <c r="G55">
        <f>E55/F55-1</f>
        <v/>
      </c>
      <c r="H55">
        <f>IF(C55=1,N(INDEX('Journal'!$X$6:$X$505,B55)),0)</f>
        <v/>
      </c>
      <c r="I55">
        <f>MAX(H55,0)</f>
        <v/>
      </c>
      <c r="J55">
        <f>MIN(H55,0)</f>
        <v/>
      </c>
      <c r="K55">
        <f>'Paramètres'!$C$9</f>
        <v/>
      </c>
    </row>
    <row r="56">
      <c r="A56" t="n">
        <v>51</v>
      </c>
      <c r="B56">
        <f>$B$3+A56-1</f>
        <v/>
      </c>
      <c r="C56">
        <f>IF(AND($B$2&gt;0,B56&lt;=$B$2),1,0)</f>
        <v/>
      </c>
      <c r="D56">
        <f>IF(C56=1,INDEX('Journal'!$A$6:$A$505,B56),"")</f>
        <v/>
      </c>
      <c r="E56">
        <f>IF($B$2=0,'Paramètres'!$C$9,'Paramètres'!$C$9+SUM('Journal'!$X$6:INDEX('Journal'!$X$6:$X$505,MIN(B56,$B$2))))</f>
        <v/>
      </c>
      <c r="F56">
        <f>IF($B$2=0,'Paramètres'!$C$9,MAX('Paramètres'!$C$9,MAX('Journal'!$AF$6:INDEX('Journal'!$AF$6:$AF$505,MIN(B56,$B$2)))))</f>
        <v/>
      </c>
      <c r="G56">
        <f>E56/F56-1</f>
        <v/>
      </c>
      <c r="H56">
        <f>IF(C56=1,N(INDEX('Journal'!$X$6:$X$505,B56)),0)</f>
        <v/>
      </c>
      <c r="I56">
        <f>MAX(H56,0)</f>
        <v/>
      </c>
      <c r="J56">
        <f>MIN(H56,0)</f>
        <v/>
      </c>
      <c r="K56">
        <f>'Paramètres'!$C$9</f>
        <v/>
      </c>
    </row>
    <row r="57">
      <c r="A57" t="n">
        <v>52</v>
      </c>
      <c r="B57">
        <f>$B$3+A57-1</f>
        <v/>
      </c>
      <c r="C57">
        <f>IF(AND($B$2&gt;0,B57&lt;=$B$2),1,0)</f>
        <v/>
      </c>
      <c r="D57">
        <f>IF(C57=1,INDEX('Journal'!$A$6:$A$505,B57),"")</f>
        <v/>
      </c>
      <c r="E57">
        <f>IF($B$2=0,'Paramètres'!$C$9,'Paramètres'!$C$9+SUM('Journal'!$X$6:INDEX('Journal'!$X$6:$X$505,MIN(B57,$B$2))))</f>
        <v/>
      </c>
      <c r="F57">
        <f>IF($B$2=0,'Paramètres'!$C$9,MAX('Paramètres'!$C$9,MAX('Journal'!$AF$6:INDEX('Journal'!$AF$6:$AF$505,MIN(B57,$B$2)))))</f>
        <v/>
      </c>
      <c r="G57">
        <f>E57/F57-1</f>
        <v/>
      </c>
      <c r="H57">
        <f>IF(C57=1,N(INDEX('Journal'!$X$6:$X$505,B57)),0)</f>
        <v/>
      </c>
      <c r="I57">
        <f>MAX(H57,0)</f>
        <v/>
      </c>
      <c r="J57">
        <f>MIN(H57,0)</f>
        <v/>
      </c>
      <c r="K57">
        <f>'Paramètres'!$C$9</f>
        <v/>
      </c>
    </row>
    <row r="58">
      <c r="A58" t="n">
        <v>53</v>
      </c>
      <c r="B58">
        <f>$B$3+A58-1</f>
        <v/>
      </c>
      <c r="C58">
        <f>IF(AND($B$2&gt;0,B58&lt;=$B$2),1,0)</f>
        <v/>
      </c>
      <c r="D58">
        <f>IF(C58=1,INDEX('Journal'!$A$6:$A$505,B58),"")</f>
        <v/>
      </c>
      <c r="E58">
        <f>IF($B$2=0,'Paramètres'!$C$9,'Paramètres'!$C$9+SUM('Journal'!$X$6:INDEX('Journal'!$X$6:$X$505,MIN(B58,$B$2))))</f>
        <v/>
      </c>
      <c r="F58">
        <f>IF($B$2=0,'Paramètres'!$C$9,MAX('Paramètres'!$C$9,MAX('Journal'!$AF$6:INDEX('Journal'!$AF$6:$AF$505,MIN(B58,$B$2)))))</f>
        <v/>
      </c>
      <c r="G58">
        <f>E58/F58-1</f>
        <v/>
      </c>
      <c r="H58">
        <f>IF(C58=1,N(INDEX('Journal'!$X$6:$X$505,B58)),0)</f>
        <v/>
      </c>
      <c r="I58">
        <f>MAX(H58,0)</f>
        <v/>
      </c>
      <c r="J58">
        <f>MIN(H58,0)</f>
        <v/>
      </c>
      <c r="K58">
        <f>'Paramètres'!$C$9</f>
        <v/>
      </c>
    </row>
    <row r="59">
      <c r="A59" t="n">
        <v>54</v>
      </c>
      <c r="B59">
        <f>$B$3+A59-1</f>
        <v/>
      </c>
      <c r="C59">
        <f>IF(AND($B$2&gt;0,B59&lt;=$B$2),1,0)</f>
        <v/>
      </c>
      <c r="D59">
        <f>IF(C59=1,INDEX('Journal'!$A$6:$A$505,B59),"")</f>
        <v/>
      </c>
      <c r="E59">
        <f>IF($B$2=0,'Paramètres'!$C$9,'Paramètres'!$C$9+SUM('Journal'!$X$6:INDEX('Journal'!$X$6:$X$505,MIN(B59,$B$2))))</f>
        <v/>
      </c>
      <c r="F59">
        <f>IF($B$2=0,'Paramètres'!$C$9,MAX('Paramètres'!$C$9,MAX('Journal'!$AF$6:INDEX('Journal'!$AF$6:$AF$505,MIN(B59,$B$2)))))</f>
        <v/>
      </c>
      <c r="G59">
        <f>E59/F59-1</f>
        <v/>
      </c>
      <c r="H59">
        <f>IF(C59=1,N(INDEX('Journal'!$X$6:$X$505,B59)),0)</f>
        <v/>
      </c>
      <c r="I59">
        <f>MAX(H59,0)</f>
        <v/>
      </c>
      <c r="J59">
        <f>MIN(H59,0)</f>
        <v/>
      </c>
      <c r="K59">
        <f>'Paramètres'!$C$9</f>
        <v/>
      </c>
    </row>
    <row r="60">
      <c r="A60" t="n">
        <v>55</v>
      </c>
      <c r="B60">
        <f>$B$3+A60-1</f>
        <v/>
      </c>
      <c r="C60">
        <f>IF(AND($B$2&gt;0,B60&lt;=$B$2),1,0)</f>
        <v/>
      </c>
      <c r="D60">
        <f>IF(C60=1,INDEX('Journal'!$A$6:$A$505,B60),"")</f>
        <v/>
      </c>
      <c r="E60">
        <f>IF($B$2=0,'Paramètres'!$C$9,'Paramètres'!$C$9+SUM('Journal'!$X$6:INDEX('Journal'!$X$6:$X$505,MIN(B60,$B$2))))</f>
        <v/>
      </c>
      <c r="F60">
        <f>IF($B$2=0,'Paramètres'!$C$9,MAX('Paramètres'!$C$9,MAX('Journal'!$AF$6:INDEX('Journal'!$AF$6:$AF$505,MIN(B60,$B$2)))))</f>
        <v/>
      </c>
      <c r="G60">
        <f>E60/F60-1</f>
        <v/>
      </c>
      <c r="H60">
        <f>IF(C60=1,N(INDEX('Journal'!$X$6:$X$505,B60)),0)</f>
        <v/>
      </c>
      <c r="I60">
        <f>MAX(H60,0)</f>
        <v/>
      </c>
      <c r="J60">
        <f>MIN(H60,0)</f>
        <v/>
      </c>
      <c r="K60">
        <f>'Paramètres'!$C$9</f>
        <v/>
      </c>
    </row>
    <row r="61">
      <c r="A61" t="n">
        <v>56</v>
      </c>
      <c r="B61">
        <f>$B$3+A61-1</f>
        <v/>
      </c>
      <c r="C61">
        <f>IF(AND($B$2&gt;0,B61&lt;=$B$2),1,0)</f>
        <v/>
      </c>
      <c r="D61">
        <f>IF(C61=1,INDEX('Journal'!$A$6:$A$505,B61),"")</f>
        <v/>
      </c>
      <c r="E61">
        <f>IF($B$2=0,'Paramètres'!$C$9,'Paramètres'!$C$9+SUM('Journal'!$X$6:INDEX('Journal'!$X$6:$X$505,MIN(B61,$B$2))))</f>
        <v/>
      </c>
      <c r="F61">
        <f>IF($B$2=0,'Paramètres'!$C$9,MAX('Paramètres'!$C$9,MAX('Journal'!$AF$6:INDEX('Journal'!$AF$6:$AF$505,MIN(B61,$B$2)))))</f>
        <v/>
      </c>
      <c r="G61">
        <f>E61/F61-1</f>
        <v/>
      </c>
      <c r="H61">
        <f>IF(C61=1,N(INDEX('Journal'!$X$6:$X$505,B61)),0)</f>
        <v/>
      </c>
      <c r="I61">
        <f>MAX(H61,0)</f>
        <v/>
      </c>
      <c r="J61">
        <f>MIN(H61,0)</f>
        <v/>
      </c>
      <c r="K61">
        <f>'Paramètres'!$C$9</f>
        <v/>
      </c>
    </row>
    <row r="62">
      <c r="A62" t="n">
        <v>57</v>
      </c>
      <c r="B62">
        <f>$B$3+A62-1</f>
        <v/>
      </c>
      <c r="C62">
        <f>IF(AND($B$2&gt;0,B62&lt;=$B$2),1,0)</f>
        <v/>
      </c>
      <c r="D62">
        <f>IF(C62=1,INDEX('Journal'!$A$6:$A$505,B62),"")</f>
        <v/>
      </c>
      <c r="E62">
        <f>IF($B$2=0,'Paramètres'!$C$9,'Paramètres'!$C$9+SUM('Journal'!$X$6:INDEX('Journal'!$X$6:$X$505,MIN(B62,$B$2))))</f>
        <v/>
      </c>
      <c r="F62">
        <f>IF($B$2=0,'Paramètres'!$C$9,MAX('Paramètres'!$C$9,MAX('Journal'!$AF$6:INDEX('Journal'!$AF$6:$AF$505,MIN(B62,$B$2)))))</f>
        <v/>
      </c>
      <c r="G62">
        <f>E62/F62-1</f>
        <v/>
      </c>
      <c r="H62">
        <f>IF(C62=1,N(INDEX('Journal'!$X$6:$X$505,B62)),0)</f>
        <v/>
      </c>
      <c r="I62">
        <f>MAX(H62,0)</f>
        <v/>
      </c>
      <c r="J62">
        <f>MIN(H62,0)</f>
        <v/>
      </c>
      <c r="K62">
        <f>'Paramètres'!$C$9</f>
        <v/>
      </c>
    </row>
    <row r="63">
      <c r="A63" t="n">
        <v>58</v>
      </c>
      <c r="B63">
        <f>$B$3+A63-1</f>
        <v/>
      </c>
      <c r="C63">
        <f>IF(AND($B$2&gt;0,B63&lt;=$B$2),1,0)</f>
        <v/>
      </c>
      <c r="D63">
        <f>IF(C63=1,INDEX('Journal'!$A$6:$A$505,B63),"")</f>
        <v/>
      </c>
      <c r="E63">
        <f>IF($B$2=0,'Paramètres'!$C$9,'Paramètres'!$C$9+SUM('Journal'!$X$6:INDEX('Journal'!$X$6:$X$505,MIN(B63,$B$2))))</f>
        <v/>
      </c>
      <c r="F63">
        <f>IF($B$2=0,'Paramètres'!$C$9,MAX('Paramètres'!$C$9,MAX('Journal'!$AF$6:INDEX('Journal'!$AF$6:$AF$505,MIN(B63,$B$2)))))</f>
        <v/>
      </c>
      <c r="G63">
        <f>E63/F63-1</f>
        <v/>
      </c>
      <c r="H63">
        <f>IF(C63=1,N(INDEX('Journal'!$X$6:$X$505,B63)),0)</f>
        <v/>
      </c>
      <c r="I63">
        <f>MAX(H63,0)</f>
        <v/>
      </c>
      <c r="J63">
        <f>MIN(H63,0)</f>
        <v/>
      </c>
      <c r="K63">
        <f>'Paramètres'!$C$9</f>
        <v/>
      </c>
    </row>
    <row r="64">
      <c r="A64" t="n">
        <v>59</v>
      </c>
      <c r="B64">
        <f>$B$3+A64-1</f>
        <v/>
      </c>
      <c r="C64">
        <f>IF(AND($B$2&gt;0,B64&lt;=$B$2),1,0)</f>
        <v/>
      </c>
      <c r="D64">
        <f>IF(C64=1,INDEX('Journal'!$A$6:$A$505,B64),"")</f>
        <v/>
      </c>
      <c r="E64">
        <f>IF($B$2=0,'Paramètres'!$C$9,'Paramètres'!$C$9+SUM('Journal'!$X$6:INDEX('Journal'!$X$6:$X$505,MIN(B64,$B$2))))</f>
        <v/>
      </c>
      <c r="F64">
        <f>IF($B$2=0,'Paramètres'!$C$9,MAX('Paramètres'!$C$9,MAX('Journal'!$AF$6:INDEX('Journal'!$AF$6:$AF$505,MIN(B64,$B$2)))))</f>
        <v/>
      </c>
      <c r="G64">
        <f>E64/F64-1</f>
        <v/>
      </c>
      <c r="H64">
        <f>IF(C64=1,N(INDEX('Journal'!$X$6:$X$505,B64)),0)</f>
        <v/>
      </c>
      <c r="I64">
        <f>MAX(H64,0)</f>
        <v/>
      </c>
      <c r="J64">
        <f>MIN(H64,0)</f>
        <v/>
      </c>
      <c r="K64">
        <f>'Paramètres'!$C$9</f>
        <v/>
      </c>
    </row>
    <row r="65">
      <c r="A65" t="n">
        <v>60</v>
      </c>
      <c r="B65">
        <f>$B$3+A65-1</f>
        <v/>
      </c>
      <c r="C65">
        <f>IF(AND($B$2&gt;0,B65&lt;=$B$2),1,0)</f>
        <v/>
      </c>
      <c r="D65">
        <f>IF(C65=1,INDEX('Journal'!$A$6:$A$505,B65),"")</f>
        <v/>
      </c>
      <c r="E65">
        <f>IF($B$2=0,'Paramètres'!$C$9,'Paramètres'!$C$9+SUM('Journal'!$X$6:INDEX('Journal'!$X$6:$X$505,MIN(B65,$B$2))))</f>
        <v/>
      </c>
      <c r="F65">
        <f>IF($B$2=0,'Paramètres'!$C$9,MAX('Paramètres'!$C$9,MAX('Journal'!$AF$6:INDEX('Journal'!$AF$6:$AF$505,MIN(B65,$B$2)))))</f>
        <v/>
      </c>
      <c r="G65">
        <f>E65/F65-1</f>
        <v/>
      </c>
      <c r="H65">
        <f>IF(C65=1,N(INDEX('Journal'!$X$6:$X$505,B65)),0)</f>
        <v/>
      </c>
      <c r="I65">
        <f>MAX(H65,0)</f>
        <v/>
      </c>
      <c r="J65">
        <f>MIN(H65,0)</f>
        <v/>
      </c>
      <c r="K65">
        <f>'Paramètres'!$C$9</f>
        <v/>
      </c>
    </row>
    <row r="69">
      <c r="A69" s="227" t="inlineStr">
        <is>
          <t>Blocs gain / perte</t>
        </is>
      </c>
    </row>
    <row r="70">
      <c r="A70">
        <f>IF('Analyse'!B49="","",'Analyse'!B49)</f>
        <v/>
      </c>
      <c r="B70">
        <f>N('Analyse'!E49)</f>
        <v/>
      </c>
      <c r="C70">
        <f>MAX(B70,0)</f>
        <v/>
      </c>
      <c r="D70">
        <f>MIN(B70,0)</f>
        <v/>
      </c>
    </row>
    <row r="71">
      <c r="A71">
        <f>IF('Analyse'!B50="","",'Analyse'!B50)</f>
        <v/>
      </c>
      <c r="B71">
        <f>N('Analyse'!E50)</f>
        <v/>
      </c>
      <c r="C71">
        <f>MAX(B71,0)</f>
        <v/>
      </c>
      <c r="D71">
        <f>MIN(B71,0)</f>
        <v/>
      </c>
    </row>
    <row r="72">
      <c r="A72">
        <f>IF('Analyse'!B51="","",'Analyse'!B51)</f>
        <v/>
      </c>
      <c r="B72">
        <f>N('Analyse'!E51)</f>
        <v/>
      </c>
      <c r="C72">
        <f>MAX(B72,0)</f>
        <v/>
      </c>
      <c r="D72">
        <f>MIN(B72,0)</f>
        <v/>
      </c>
    </row>
    <row r="73">
      <c r="A73">
        <f>IF('Analyse'!B52="","",'Analyse'!B52)</f>
        <v/>
      </c>
      <c r="B73">
        <f>N('Analyse'!E52)</f>
        <v/>
      </c>
      <c r="C73">
        <f>MAX(B73,0)</f>
        <v/>
      </c>
      <c r="D73">
        <f>MIN(B73,0)</f>
        <v/>
      </c>
    </row>
    <row r="74">
      <c r="A74">
        <f>IF('Analyse'!B53="","",'Analyse'!B53)</f>
        <v/>
      </c>
      <c r="B74">
        <f>N('Analyse'!E53)</f>
        <v/>
      </c>
      <c r="C74">
        <f>MAX(B74,0)</f>
        <v/>
      </c>
      <c r="D74">
        <f>MIN(B74,0)</f>
        <v/>
      </c>
    </row>
    <row r="75">
      <c r="A75">
        <f>IF('Analyse'!B54="","",'Analyse'!B54)</f>
        <v/>
      </c>
      <c r="B75">
        <f>N('Analyse'!E54)</f>
        <v/>
      </c>
      <c r="C75">
        <f>MAX(B75,0)</f>
        <v/>
      </c>
      <c r="D75">
        <f>MIN(B75,0)</f>
        <v/>
      </c>
    </row>
    <row r="76">
      <c r="A76">
        <f>IF('Analyse'!B55="","",'Analyse'!B55)</f>
        <v/>
      </c>
      <c r="B76">
        <f>N('Analyse'!E55)</f>
        <v/>
      </c>
      <c r="C76">
        <f>MAX(B76,0)</f>
        <v/>
      </c>
      <c r="D76">
        <f>MIN(B76,0)</f>
        <v/>
      </c>
    </row>
    <row r="77">
      <c r="A77">
        <f>IF('Analyse'!B56="","",'Analyse'!B56)</f>
        <v/>
      </c>
      <c r="B77">
        <f>N('Analyse'!E56)</f>
        <v/>
      </c>
      <c r="C77">
        <f>MAX(B77,0)</f>
        <v/>
      </c>
      <c r="D77">
        <f>MIN(B77,0)</f>
        <v/>
      </c>
    </row>
    <row r="78">
      <c r="A78">
        <f>IF('Analyse'!B57="","",'Analyse'!B57)</f>
        <v/>
      </c>
      <c r="B78">
        <f>N('Analyse'!E57)</f>
        <v/>
      </c>
      <c r="C78">
        <f>MAX(B78,0)</f>
        <v/>
      </c>
      <c r="D78">
        <f>MIN(B78,0)</f>
        <v/>
      </c>
    </row>
    <row r="79">
      <c r="A79">
        <f>IF('Analyse'!B58="","",'Analyse'!B58)</f>
        <v/>
      </c>
      <c r="B79">
        <f>N('Analyse'!E58)</f>
        <v/>
      </c>
      <c r="C79">
        <f>MAX(B79,0)</f>
        <v/>
      </c>
      <c r="D79">
        <f>MIN(B79,0)</f>
        <v/>
      </c>
    </row>
    <row r="82">
      <c r="A82">
        <f>IF('Analyse'!B65="","",'Analyse'!B65)</f>
        <v/>
      </c>
      <c r="B82">
        <f>N('Analyse'!E65)</f>
        <v/>
      </c>
      <c r="C82">
        <f>MAX(B82,0)</f>
        <v/>
      </c>
      <c r="D82">
        <f>MIN(B82,0)</f>
        <v/>
      </c>
    </row>
    <row r="83">
      <c r="A83">
        <f>IF('Analyse'!B66="","",'Analyse'!B66)</f>
        <v/>
      </c>
      <c r="B83">
        <f>N('Analyse'!E66)</f>
        <v/>
      </c>
      <c r="C83">
        <f>MAX(B83,0)</f>
        <v/>
      </c>
      <c r="D83">
        <f>MIN(B83,0)</f>
        <v/>
      </c>
    </row>
    <row r="84">
      <c r="A84">
        <f>IF('Analyse'!B67="","",'Analyse'!B67)</f>
        <v/>
      </c>
      <c r="B84">
        <f>N('Analyse'!E67)</f>
        <v/>
      </c>
      <c r="C84">
        <f>MAX(B84,0)</f>
        <v/>
      </c>
      <c r="D84">
        <f>MIN(B84,0)</f>
        <v/>
      </c>
    </row>
    <row r="85">
      <c r="A85">
        <f>IF('Analyse'!B68="","",'Analyse'!B68)</f>
        <v/>
      </c>
      <c r="B85">
        <f>N('Analyse'!E68)</f>
        <v/>
      </c>
      <c r="C85">
        <f>MAX(B85,0)</f>
        <v/>
      </c>
      <c r="D85">
        <f>MIN(B85,0)</f>
        <v/>
      </c>
    </row>
    <row r="86">
      <c r="A86">
        <f>IF('Analyse'!B69="","",'Analyse'!B69)</f>
        <v/>
      </c>
      <c r="B86">
        <f>N('Analyse'!E69)</f>
        <v/>
      </c>
      <c r="C86">
        <f>MAX(B86,0)</f>
        <v/>
      </c>
      <c r="D86">
        <f>MIN(B86,0)</f>
        <v/>
      </c>
    </row>
    <row r="87">
      <c r="A87">
        <f>IF('Analyse'!B70="","",'Analyse'!B70)</f>
        <v/>
      </c>
      <c r="B87">
        <f>N('Analyse'!E70)</f>
        <v/>
      </c>
      <c r="C87">
        <f>MAX(B87,0)</f>
        <v/>
      </c>
      <c r="D87">
        <f>MIN(B87,0)</f>
        <v/>
      </c>
    </row>
    <row r="88">
      <c r="A88">
        <f>IF('Analyse'!B71="","",'Analyse'!B71)</f>
        <v/>
      </c>
      <c r="B88">
        <f>N('Analyse'!E71)</f>
        <v/>
      </c>
      <c r="C88">
        <f>MAX(B88,0)</f>
        <v/>
      </c>
      <c r="D88">
        <f>MIN(B88,0)</f>
        <v/>
      </c>
    </row>
    <row r="89">
      <c r="A89">
        <f>IF('Analyse'!B72="","",'Analyse'!B72)</f>
        <v/>
      </c>
      <c r="B89">
        <f>N('Analyse'!E72)</f>
        <v/>
      </c>
      <c r="C89">
        <f>MAX(B89,0)</f>
        <v/>
      </c>
      <c r="D89">
        <f>MIN(B89,0)</f>
        <v/>
      </c>
    </row>
    <row r="90">
      <c r="A90">
        <f>IF('Analyse'!B73="","",'Analyse'!B73)</f>
        <v/>
      </c>
      <c r="B90">
        <f>N('Analyse'!E73)</f>
        <v/>
      </c>
      <c r="C90">
        <f>MAX(B90,0)</f>
        <v/>
      </c>
      <c r="D90">
        <f>MIN(B90,0)</f>
        <v/>
      </c>
    </row>
    <row r="91">
      <c r="A91">
        <f>IF('Analyse'!B74="","",'Analyse'!B74)</f>
        <v/>
      </c>
      <c r="B91">
        <f>N('Analyse'!E74)</f>
        <v/>
      </c>
      <c r="C91">
        <f>MAX(B91,0)</f>
        <v/>
      </c>
      <c r="D91">
        <f>MIN(B91,0)</f>
        <v/>
      </c>
    </row>
    <row r="92">
      <c r="A92">
        <f>IF('Analyse'!B75="","",'Analyse'!B75)</f>
        <v/>
      </c>
      <c r="B92">
        <f>N('Analyse'!E75)</f>
        <v/>
      </c>
      <c r="C92">
        <f>MAX(B92,0)</f>
        <v/>
      </c>
      <c r="D92">
        <f>MIN(B92,0)</f>
        <v/>
      </c>
    </row>
    <row r="93">
      <c r="A93">
        <f>IF('Analyse'!B76="","",'Analyse'!B76)</f>
        <v/>
      </c>
      <c r="B93">
        <f>N('Analyse'!E76)</f>
        <v/>
      </c>
      <c r="C93">
        <f>MAX(B93,0)</f>
        <v/>
      </c>
      <c r="D93">
        <f>MIN(B93,0)</f>
        <v/>
      </c>
    </row>
    <row r="96">
      <c r="A96">
        <f>IF('Analyse'!B87="","",'Analyse'!B87)</f>
        <v/>
      </c>
      <c r="B96">
        <f>N('Analyse'!E87)</f>
        <v/>
      </c>
      <c r="C96">
        <f>MAX(B96,0)</f>
        <v/>
      </c>
      <c r="D96">
        <f>MIN(B96,0)</f>
        <v/>
      </c>
    </row>
    <row r="97">
      <c r="A97">
        <f>IF('Analyse'!B88="","",'Analyse'!B88)</f>
        <v/>
      </c>
      <c r="B97">
        <f>N('Analyse'!E88)</f>
        <v/>
      </c>
      <c r="C97">
        <f>MAX(B97,0)</f>
        <v/>
      </c>
      <c r="D97">
        <f>MIN(B97,0)</f>
        <v/>
      </c>
    </row>
    <row r="98">
      <c r="A98">
        <f>IF('Analyse'!B89="","",'Analyse'!B89)</f>
        <v/>
      </c>
      <c r="B98">
        <f>N('Analyse'!E89)</f>
        <v/>
      </c>
      <c r="C98">
        <f>MAX(B98,0)</f>
        <v/>
      </c>
      <c r="D98">
        <f>MIN(B98,0)</f>
        <v/>
      </c>
    </row>
    <row r="99">
      <c r="A99">
        <f>IF('Analyse'!B90="","",'Analyse'!B90)</f>
        <v/>
      </c>
      <c r="B99">
        <f>N('Analyse'!E90)</f>
        <v/>
      </c>
      <c r="C99">
        <f>MAX(B99,0)</f>
        <v/>
      </c>
      <c r="D99">
        <f>MIN(B99,0)</f>
        <v/>
      </c>
    </row>
    <row r="100">
      <c r="A100">
        <f>IF('Analyse'!B91="","",'Analyse'!B91)</f>
        <v/>
      </c>
      <c r="B100">
        <f>N('Analyse'!E91)</f>
        <v/>
      </c>
      <c r="C100">
        <f>MAX(B100,0)</f>
        <v/>
      </c>
      <c r="D100">
        <f>MIN(B100,0)</f>
        <v/>
      </c>
    </row>
    <row r="101">
      <c r="A101">
        <f>IF('Analyse'!B92="","",'Analyse'!B92)</f>
        <v/>
      </c>
      <c r="B101">
        <f>N('Analyse'!E92)</f>
        <v/>
      </c>
      <c r="C101">
        <f>MAX(B101,0)</f>
        <v/>
      </c>
      <c r="D101">
        <f>MIN(B101,0)</f>
        <v/>
      </c>
    </row>
    <row r="102">
      <c r="A102">
        <f>IF('Analyse'!B93="","",'Analyse'!B93)</f>
        <v/>
      </c>
      <c r="B102">
        <f>N('Analyse'!E93)</f>
        <v/>
      </c>
      <c r="C102">
        <f>MAX(B102,0)</f>
        <v/>
      </c>
      <c r="D102">
        <f>MIN(B102,0)</f>
        <v/>
      </c>
    </row>
    <row r="105">
      <c r="A105" t="inlineStr">
        <is>
          <t>Lun</t>
        </is>
      </c>
      <c r="B105">
        <f>N('Analyse'!E98)</f>
        <v/>
      </c>
      <c r="C105">
        <f>MAX(B105,0)</f>
        <v/>
      </c>
      <c r="D105">
        <f>MIN(B105,0)</f>
        <v/>
      </c>
    </row>
    <row r="106">
      <c r="A106" t="inlineStr">
        <is>
          <t>Mar</t>
        </is>
      </c>
      <c r="B106">
        <f>N('Analyse'!E99)</f>
        <v/>
      </c>
      <c r="C106">
        <f>MAX(B106,0)</f>
        <v/>
      </c>
      <c r="D106">
        <f>MIN(B106,0)</f>
        <v/>
      </c>
    </row>
    <row r="107">
      <c r="A107" t="inlineStr">
        <is>
          <t>Mer</t>
        </is>
      </c>
      <c r="B107">
        <f>N('Analyse'!E100)</f>
        <v/>
      </c>
      <c r="C107">
        <f>MAX(B107,0)</f>
        <v/>
      </c>
      <c r="D107">
        <f>MIN(B107,0)</f>
        <v/>
      </c>
    </row>
    <row r="108">
      <c r="A108" t="inlineStr">
        <is>
          <t>Jeu</t>
        </is>
      </c>
      <c r="B108">
        <f>N('Analyse'!E101)</f>
        <v/>
      </c>
      <c r="C108">
        <f>MAX(B108,0)</f>
        <v/>
      </c>
      <c r="D108">
        <f>MIN(B108,0)</f>
        <v/>
      </c>
    </row>
    <row r="109">
      <c r="A109" t="inlineStr">
        <is>
          <t>Ven</t>
        </is>
      </c>
      <c r="B109">
        <f>N('Analyse'!E102)</f>
        <v/>
      </c>
      <c r="C109">
        <f>MAX(B109,0)</f>
        <v/>
      </c>
      <c r="D109">
        <f>MIN(B109,0)</f>
        <v/>
      </c>
    </row>
    <row r="110">
      <c r="A110" t="inlineStr">
        <is>
          <t>Sam</t>
        </is>
      </c>
      <c r="B110">
        <f>N('Analyse'!E103)</f>
        <v/>
      </c>
      <c r="C110">
        <f>MAX(B110,0)</f>
        <v/>
      </c>
      <c r="D110">
        <f>MIN(B110,0)</f>
        <v/>
      </c>
    </row>
    <row r="111">
      <c r="A111" t="inlineStr">
        <is>
          <t>Dim</t>
        </is>
      </c>
      <c r="B111">
        <f>N('Analyse'!E104)</f>
        <v/>
      </c>
      <c r="C111">
        <f>MAX(B111,0)</f>
        <v/>
      </c>
      <c r="D111">
        <f>MIN(B111,0)</f>
        <v/>
      </c>
    </row>
    <row r="114">
      <c r="A114" t="inlineStr">
        <is>
          <t>Jan</t>
        </is>
      </c>
      <c r="B114">
        <f>N('Analyse'!E114)</f>
        <v/>
      </c>
      <c r="C114">
        <f>MAX(B114,0)</f>
        <v/>
      </c>
      <c r="D114">
        <f>MIN(B114,0)</f>
        <v/>
      </c>
    </row>
    <row r="115">
      <c r="A115" t="inlineStr">
        <is>
          <t>Fév</t>
        </is>
      </c>
      <c r="B115">
        <f>N('Analyse'!E115)</f>
        <v/>
      </c>
      <c r="C115">
        <f>MAX(B115,0)</f>
        <v/>
      </c>
      <c r="D115">
        <f>MIN(B115,0)</f>
        <v/>
      </c>
    </row>
    <row r="116">
      <c r="A116" t="inlineStr">
        <is>
          <t>Mar</t>
        </is>
      </c>
      <c r="B116">
        <f>N('Analyse'!E116)</f>
        <v/>
      </c>
      <c r="C116">
        <f>MAX(B116,0)</f>
        <v/>
      </c>
      <c r="D116">
        <f>MIN(B116,0)</f>
        <v/>
      </c>
    </row>
    <row r="117">
      <c r="A117" t="inlineStr">
        <is>
          <t>Avr</t>
        </is>
      </c>
      <c r="B117">
        <f>N('Analyse'!E117)</f>
        <v/>
      </c>
      <c r="C117">
        <f>MAX(B117,0)</f>
        <v/>
      </c>
      <c r="D117">
        <f>MIN(B117,0)</f>
        <v/>
      </c>
    </row>
    <row r="118">
      <c r="A118" t="inlineStr">
        <is>
          <t>Mai</t>
        </is>
      </c>
      <c r="B118">
        <f>N('Analyse'!E118)</f>
        <v/>
      </c>
      <c r="C118">
        <f>MAX(B118,0)</f>
        <v/>
      </c>
      <c r="D118">
        <f>MIN(B118,0)</f>
        <v/>
      </c>
    </row>
    <row r="119">
      <c r="A119" t="inlineStr">
        <is>
          <t>Juin</t>
        </is>
      </c>
      <c r="B119">
        <f>N('Analyse'!E119)</f>
        <v/>
      </c>
      <c r="C119">
        <f>MAX(B119,0)</f>
        <v/>
      </c>
      <c r="D119">
        <f>MIN(B119,0)</f>
        <v/>
      </c>
    </row>
    <row r="120">
      <c r="A120" t="inlineStr">
        <is>
          <t>Juil</t>
        </is>
      </c>
      <c r="B120">
        <f>N('Analyse'!E120)</f>
        <v/>
      </c>
      <c r="C120">
        <f>MAX(B120,0)</f>
        <v/>
      </c>
      <c r="D120">
        <f>MIN(B120,0)</f>
        <v/>
      </c>
    </row>
    <row r="121">
      <c r="A121" t="inlineStr">
        <is>
          <t>Août</t>
        </is>
      </c>
      <c r="B121">
        <f>N('Analyse'!E121)</f>
        <v/>
      </c>
      <c r="C121">
        <f>MAX(B121,0)</f>
        <v/>
      </c>
      <c r="D121">
        <f>MIN(B121,0)</f>
        <v/>
      </c>
    </row>
    <row r="122">
      <c r="A122" t="inlineStr">
        <is>
          <t>Sep</t>
        </is>
      </c>
      <c r="B122">
        <f>N('Analyse'!E122)</f>
        <v/>
      </c>
      <c r="C122">
        <f>MAX(B122,0)</f>
        <v/>
      </c>
      <c r="D122">
        <f>MIN(B122,0)</f>
        <v/>
      </c>
    </row>
    <row r="123">
      <c r="A123" t="inlineStr">
        <is>
          <t>Oct</t>
        </is>
      </c>
      <c r="B123">
        <f>N('Analyse'!E123)</f>
        <v/>
      </c>
      <c r="C123">
        <f>MAX(B123,0)</f>
        <v/>
      </c>
      <c r="D123">
        <f>MIN(B123,0)</f>
        <v/>
      </c>
    </row>
    <row r="124">
      <c r="A124" t="inlineStr">
        <is>
          <t>Nov</t>
        </is>
      </c>
      <c r="B124">
        <f>N('Analyse'!E124)</f>
        <v/>
      </c>
      <c r="C124">
        <f>MAX(B124,0)</f>
        <v/>
      </c>
      <c r="D124">
        <f>MIN(B124,0)</f>
        <v/>
      </c>
    </row>
    <row r="125">
      <c r="A125" t="inlineStr">
        <is>
          <t>Déc</t>
        </is>
      </c>
      <c r="B125">
        <f>N('Analyse'!E125)</f>
        <v/>
      </c>
      <c r="C125">
        <f>MAX(B125,0)</f>
        <v/>
      </c>
      <c r="D125">
        <f>MIN(B125,0)</f>
        <v/>
      </c>
    </row>
    <row r="128">
      <c r="A128">
        <f>IF('Analyse'!B146="","",'Analyse'!B146)</f>
        <v/>
      </c>
      <c r="B128">
        <f>N('Analyse'!E146)</f>
        <v/>
      </c>
      <c r="C128">
        <f>MAX(B128,0)</f>
        <v/>
      </c>
      <c r="D128">
        <f>MIN(B128,0)</f>
        <v/>
      </c>
    </row>
    <row r="129">
      <c r="A129">
        <f>IF('Analyse'!B147="","",'Analyse'!B147)</f>
        <v/>
      </c>
      <c r="B129">
        <f>N('Analyse'!E147)</f>
        <v/>
      </c>
      <c r="C129">
        <f>MAX(B129,0)</f>
        <v/>
      </c>
      <c r="D129">
        <f>MIN(B129,0)</f>
        <v/>
      </c>
    </row>
    <row r="130">
      <c r="A130">
        <f>IF('Analyse'!B148="","",'Analyse'!B148)</f>
        <v/>
      </c>
      <c r="B130">
        <f>N('Analyse'!E148)</f>
        <v/>
      </c>
      <c r="C130">
        <f>MAX(B130,0)</f>
        <v/>
      </c>
      <c r="D130">
        <f>MIN(B130,0)</f>
        <v/>
      </c>
    </row>
    <row r="131">
      <c r="A131">
        <f>IF('Analyse'!B149="","",'Analyse'!B149)</f>
        <v/>
      </c>
      <c r="B131">
        <f>N('Analyse'!E149)</f>
        <v/>
      </c>
      <c r="C131">
        <f>MAX(B131,0)</f>
        <v/>
      </c>
      <c r="D131">
        <f>MIN(B131,0)</f>
        <v/>
      </c>
    </row>
    <row r="132">
      <c r="A132">
        <f>IF('Analyse'!B150="","",'Analyse'!B150)</f>
        <v/>
      </c>
      <c r="B132">
        <f>N('Analyse'!E150)</f>
        <v/>
      </c>
      <c r="C132">
        <f>MAX(B132,0)</f>
        <v/>
      </c>
      <c r="D132">
        <f>MIN(B132,0)</f>
        <v/>
      </c>
    </row>
    <row r="133">
      <c r="A133">
        <f>IF('Analyse'!B151="","",'Analyse'!B151)</f>
        <v/>
      </c>
      <c r="B133">
        <f>N('Analyse'!E151)</f>
        <v/>
      </c>
      <c r="C133">
        <f>MAX(B133,0)</f>
        <v/>
      </c>
      <c r="D133">
        <f>MIN(B133,0)</f>
        <v/>
      </c>
    </row>
    <row r="134">
      <c r="A134">
        <f>IF('Analyse'!B152="","",'Analyse'!B152)</f>
        <v/>
      </c>
      <c r="B134">
        <f>N('Analyse'!E152)</f>
        <v/>
      </c>
      <c r="C134">
        <f>MAX(B134,0)</f>
        <v/>
      </c>
      <c r="D134">
        <f>MIN(B134,0)</f>
        <v/>
      </c>
    </row>
    <row r="135">
      <c r="A135">
        <f>IF('Analyse'!B153="","",'Analyse'!B153)</f>
        <v/>
      </c>
      <c r="B135">
        <f>N('Analyse'!E153)</f>
        <v/>
      </c>
      <c r="C135">
        <f>MAX(B135,0)</f>
        <v/>
      </c>
      <c r="D135">
        <f>MIN(B135,0)</f>
        <v/>
      </c>
    </row>
    <row r="138">
      <c r="A138">
        <f>IF('Analyse'!B162="","",'Analyse'!B162)</f>
        <v/>
      </c>
      <c r="B138">
        <f>N('Analyse'!E162)</f>
        <v/>
      </c>
      <c r="C138">
        <f>MAX(B138,0)</f>
        <v/>
      </c>
      <c r="D138">
        <f>MIN(B138,0)</f>
        <v/>
      </c>
    </row>
    <row r="139">
      <c r="A139">
        <f>IF('Analyse'!B163="","",'Analyse'!B163)</f>
        <v/>
      </c>
      <c r="B139">
        <f>N('Analyse'!E163)</f>
        <v/>
      </c>
      <c r="C139">
        <f>MAX(B139,0)</f>
        <v/>
      </c>
      <c r="D139">
        <f>MIN(B139,0)</f>
        <v/>
      </c>
    </row>
    <row r="140">
      <c r="A140">
        <f>IF('Analyse'!B164="","",'Analyse'!B164)</f>
        <v/>
      </c>
      <c r="B140">
        <f>N('Analyse'!E164)</f>
        <v/>
      </c>
      <c r="C140">
        <f>MAX(B140,0)</f>
        <v/>
      </c>
      <c r="D140">
        <f>MIN(B140,0)</f>
        <v/>
      </c>
    </row>
    <row r="141">
      <c r="A141">
        <f>IF('Analyse'!B165="","",'Analyse'!B165)</f>
        <v/>
      </c>
      <c r="B141">
        <f>N('Analyse'!E165)</f>
        <v/>
      </c>
      <c r="C141">
        <f>MAX(B141,0)</f>
        <v/>
      </c>
      <c r="D141">
        <f>MIN(B141,0)</f>
        <v/>
      </c>
    </row>
    <row r="142">
      <c r="A142">
        <f>IF('Analyse'!B166="","",'Analyse'!B166)</f>
        <v/>
      </c>
      <c r="B142">
        <f>N('Analyse'!E166)</f>
        <v/>
      </c>
      <c r="C142">
        <f>MAX(B142,0)</f>
        <v/>
      </c>
      <c r="D142">
        <f>MIN(B142,0)</f>
        <v/>
      </c>
    </row>
    <row r="143">
      <c r="A143">
        <f>IF('Analyse'!B167="","",'Analyse'!B167)</f>
        <v/>
      </c>
      <c r="B143">
        <f>N('Analyse'!E167)</f>
        <v/>
      </c>
      <c r="C143">
        <f>MAX(B143,0)</f>
        <v/>
      </c>
      <c r="D143">
        <f>MIN(B143,0)</f>
        <v/>
      </c>
    </row>
    <row r="144">
      <c r="A144">
        <f>IF('Analyse'!B168="","",'Analyse'!B168)</f>
        <v/>
      </c>
      <c r="B144">
        <f>N('Analyse'!E168)</f>
        <v/>
      </c>
      <c r="C144">
        <f>MAX(B144,0)</f>
        <v/>
      </c>
      <c r="D144">
        <f>MIN(B144,0)</f>
        <v/>
      </c>
    </row>
    <row r="145">
      <c r="A145">
        <f>IF('Analyse'!B169="","",'Analyse'!B169)</f>
        <v/>
      </c>
      <c r="B145">
        <f>N('Analyse'!E169)</f>
        <v/>
      </c>
      <c r="C145">
        <f>MAX(B145,0)</f>
        <v/>
      </c>
      <c r="D145">
        <f>MIN(B145,0)</f>
        <v/>
      </c>
    </row>
    <row r="146">
      <c r="A146">
        <f>IF('Analyse'!B170="","",'Analyse'!B170)</f>
        <v/>
      </c>
      <c r="B146">
        <f>N('Analyse'!E170)</f>
        <v/>
      </c>
      <c r="C146">
        <f>MAX(B146,0)</f>
        <v/>
      </c>
      <c r="D146">
        <f>MIN(B146,0)</f>
        <v/>
      </c>
    </row>
    <row r="147">
      <c r="A147">
        <f>IF('Analyse'!B171="","",'Analyse'!B171)</f>
        <v/>
      </c>
      <c r="B147">
        <f>N('Analyse'!E171)</f>
        <v/>
      </c>
      <c r="C147">
        <f>MAX(B147,0)</f>
        <v/>
      </c>
      <c r="D147">
        <f>MIN(B147,0)</f>
        <v/>
      </c>
    </row>
    <row r="148">
      <c r="A148">
        <f>IF('Analyse'!B172="","",'Analyse'!B172)</f>
        <v/>
      </c>
      <c r="B148">
        <f>N('Analyse'!E172)</f>
        <v/>
      </c>
      <c r="C148">
        <f>MAX(B148,0)</f>
        <v/>
      </c>
      <c r="D148">
        <f>MIN(B148,0)</f>
        <v/>
      </c>
    </row>
    <row r="149">
      <c r="A149">
        <f>IF('Analyse'!B173="","",'Analyse'!B173)</f>
        <v/>
      </c>
      <c r="B149">
        <f>N('Analyse'!E173)</f>
        <v/>
      </c>
      <c r="C149">
        <f>MAX(B149,0)</f>
        <v/>
      </c>
      <c r="D149">
        <f>MIN(B149,0)</f>
        <v/>
      </c>
    </row>
    <row r="152">
      <c r="A152">
        <f>IF('Analyse'!B184="","",'Analyse'!B184)</f>
        <v/>
      </c>
      <c r="B152">
        <f>N('Analyse'!E184)</f>
        <v/>
      </c>
      <c r="C152">
        <f>MAX(B152,0)</f>
        <v/>
      </c>
      <c r="D152">
        <f>MIN(B152,0)</f>
        <v/>
      </c>
    </row>
    <row r="153">
      <c r="A153">
        <f>IF('Analyse'!B185="","",'Analyse'!B185)</f>
        <v/>
      </c>
      <c r="B153">
        <f>N('Analyse'!E185)</f>
        <v/>
      </c>
      <c r="C153">
        <f>MAX(B153,0)</f>
        <v/>
      </c>
      <c r="D153">
        <f>MIN(B153,0)</f>
        <v/>
      </c>
    </row>
    <row r="154">
      <c r="A154">
        <f>IF('Analyse'!B186="","",'Analyse'!B186)</f>
        <v/>
      </c>
      <c r="B154">
        <f>N('Analyse'!E186)</f>
        <v/>
      </c>
      <c r="C154">
        <f>MAX(B154,0)</f>
        <v/>
      </c>
      <c r="D154">
        <f>MIN(B154,0)</f>
        <v/>
      </c>
    </row>
    <row r="155">
      <c r="A155">
        <f>IF('Analyse'!B187="","",'Analyse'!B187)</f>
        <v/>
      </c>
      <c r="B155">
        <f>N('Analyse'!E187)</f>
        <v/>
      </c>
      <c r="C155">
        <f>MAX(B155,0)</f>
        <v/>
      </c>
      <c r="D155">
        <f>MIN(B155,0)</f>
        <v/>
      </c>
    </row>
    <row r="156">
      <c r="A156">
        <f>IF('Analyse'!B188="","",'Analyse'!B188)</f>
        <v/>
      </c>
      <c r="B156">
        <f>N('Analyse'!E188)</f>
        <v/>
      </c>
      <c r="C156">
        <f>MAX(B156,0)</f>
        <v/>
      </c>
      <c r="D156">
        <f>MIN(B156,0)</f>
        <v/>
      </c>
    </row>
    <row r="159">
      <c r="A159">
        <f>IF('Analyse'!B195="","",'Analyse'!B195)</f>
        <v/>
      </c>
      <c r="B159">
        <f>N('Analyse'!C195)</f>
        <v/>
      </c>
      <c r="C159">
        <f>IF(0&lt;4,0,B159)</f>
        <v/>
      </c>
      <c r="D159">
        <f>IF(0&lt;4,B159,0)</f>
        <v/>
      </c>
    </row>
    <row r="160">
      <c r="A160">
        <f>IF('Analyse'!B196="","",'Analyse'!B196)</f>
        <v/>
      </c>
      <c r="B160">
        <f>N('Analyse'!C196)</f>
        <v/>
      </c>
      <c r="C160">
        <f>IF(1&lt;4,0,B160)</f>
        <v/>
      </c>
      <c r="D160">
        <f>IF(1&lt;4,B160,0)</f>
        <v/>
      </c>
    </row>
    <row r="161">
      <c r="A161">
        <f>IF('Analyse'!B197="","",'Analyse'!B197)</f>
        <v/>
      </c>
      <c r="B161">
        <f>N('Analyse'!C197)</f>
        <v/>
      </c>
      <c r="C161">
        <f>IF(2&lt;4,0,B161)</f>
        <v/>
      </c>
      <c r="D161">
        <f>IF(2&lt;4,B161,0)</f>
        <v/>
      </c>
    </row>
    <row r="162">
      <c r="A162">
        <f>IF('Analyse'!B198="","",'Analyse'!B198)</f>
        <v/>
      </c>
      <c r="B162">
        <f>N('Analyse'!C198)</f>
        <v/>
      </c>
      <c r="C162">
        <f>IF(3&lt;4,0,B162)</f>
        <v/>
      </c>
      <c r="D162">
        <f>IF(3&lt;4,B162,0)</f>
        <v/>
      </c>
    </row>
    <row r="163">
      <c r="A163">
        <f>IF('Analyse'!B199="","",'Analyse'!B199)</f>
        <v/>
      </c>
      <c r="B163">
        <f>N('Analyse'!C199)</f>
        <v/>
      </c>
      <c r="C163">
        <f>IF(4&lt;4,0,B163)</f>
        <v/>
      </c>
      <c r="D163">
        <f>IF(4&lt;4,B163,0)</f>
        <v/>
      </c>
    </row>
    <row r="164">
      <c r="A164">
        <f>IF('Analyse'!B200="","",'Analyse'!B200)</f>
        <v/>
      </c>
      <c r="B164">
        <f>N('Analyse'!C200)</f>
        <v/>
      </c>
      <c r="C164">
        <f>IF(5&lt;4,0,B164)</f>
        <v/>
      </c>
      <c r="D164">
        <f>IF(5&lt;4,B164,0)</f>
        <v/>
      </c>
    </row>
    <row r="165">
      <c r="A165">
        <f>IF('Analyse'!B201="","",'Analyse'!B201)</f>
        <v/>
      </c>
      <c r="B165">
        <f>N('Analyse'!C201)</f>
        <v/>
      </c>
      <c r="C165">
        <f>IF(6&lt;4,0,B165)</f>
        <v/>
      </c>
      <c r="D165">
        <f>IF(6&lt;4,B165,0)</f>
        <v/>
      </c>
    </row>
    <row r="166">
      <c r="A166">
        <f>IF('Analyse'!B202="","",'Analyse'!B202)</f>
        <v/>
      </c>
      <c r="B166">
        <f>N('Analyse'!C202)</f>
        <v/>
      </c>
      <c r="C166">
        <f>IF(7&lt;4,0,B166)</f>
        <v/>
      </c>
      <c r="D166">
        <f>IF(7&lt;4,B166,0)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APEX</dc:creator>
  <dc:title xmlns:dc="http://purl.org/dc/elements/1.1/">Trading Journal</dc:title>
  <dcterms:created xmlns:dcterms="http://purl.org/dc/terms/" xmlns:xsi="http://www.w3.org/2001/XMLSchema-instance" xsi:type="dcterms:W3CDTF">2026-11-02T22:28:32Z</dcterms:created>
  <dcterms:modified xmlns:dcterms="http://purl.org/dc/terms/" xmlns:xsi="http://www.w3.org/2001/XMLSchema-instance" xsi:type="dcterms:W3CDTF">2026-11-02T22:28:37Z</dcterms:modified>
</cp:coreProperties>
</file>